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<sst xmlns="http://schemas.openxmlformats.org/spreadsheetml/2006/main" count="951" uniqueCount="259">
  <si>
    <t>ОТЧЕТ ОБ ИСПОЛНЕНИИ БЮДЖЕТА</t>
  </si>
  <si>
    <t>КОДЫ</t>
  </si>
  <si>
    <t xml:space="preserve">Форма по ОКУД </t>
  </si>
  <si>
    <t>0503117</t>
  </si>
  <si>
    <t>на 1 октября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</si>
  <si>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</si>
  <si>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</si>
  <si>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</si>
  <si>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</si>
  <si>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</si>
  <si>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</si>
  <si>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</si>
  <si>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</si>
  <si>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</si>
  <si>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</si>
  <si>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</si>
  <si>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</si>
  <si>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</si>
  <si>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</si>
  <si>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</si>
  <si>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</si>
  <si>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</si>
  <si>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</si>
  <si>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</si>
  <si>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</si>
  <si>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</si>
  <si>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</si>
  <si>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</si>
  <si>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</si>
  <si>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</si>
  <si>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</si>
  <si>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</si>
  <si>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</si>
  <si>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</si>
  <si>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</si>
  <si>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</si>
  <si>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</si>
  <si>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</si>
  <si>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</si>
  <si>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</si>
  <si>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</si>
  <si>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</si>
  <si>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</si>
  <si>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</si>
  <si>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</si>
  <si>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</si>
  <si>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</si>
  <si>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</si>
  <si>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</si>
  <si>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</si>
  <si>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</si>
  <si>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</si>
  <si>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</si>
  <si>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</si>
  <si>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</si>
  <si>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</si>
  <si>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</si>
  <si>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</si>
  <si>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</si>
  <si>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</si>
  <si>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</si>
  <si>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</si>
  <si>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</si>
  <si>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</si>
  <si>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</si>
  <si>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</si>
  <si>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</si>
  <si>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</si>
  <si>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</si>
  <si>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</si>
  <si>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</si>
  <si>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</si>
  <si>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</si>
  <si>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</si>
  <si>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</si>
  <si>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</si>
  <si>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</si>
  <si>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</si>
  <si>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</si>
  <si>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</si>
  <si>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</si>
  <si>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</si>
  <si>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</si>
  <si>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</si>
  <si>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</si>
  <si>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</si>
  <si>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</si>
  <si>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</si>
  <si>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</si>
  <si>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650 20805000 13 0000 180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</si>
  <si>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</si>
  <si>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</si>
  <si>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</si>
  <si>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</si>
  <si>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</si>
  <si>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</si>
  <si>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</si>
  <si>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</si>
  <si>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</si>
  <si>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</si>
  <si>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</si>
  <si>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</si>
  <si>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</si>
  <si>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</si>
  <si>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</si>
  <si>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</si>
  <si>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</si>
  <si>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</si>
  <si>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</si>
  <si>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</si>
  <si>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</si>
  <si>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</si>
  <si>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</si>
  <si>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650 0107 6000079990 123</t>
  </si>
  <si>
    <t>296</t>
  </si>
  <si>
    <t>650 0107 6000079990 880</t>
  </si>
  <si>
    <t>Прочие расходы</t>
  </si>
  <si>
    <t>650 0107 6002020240 244</t>
  </si>
  <si>
    <t>290</t>
  </si>
  <si>
    <t>650 0107 6002030240 244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</si>
  <si>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</si>
  <si>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</si>
  <si>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</si>
  <si>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</si>
  <si>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</si>
  <si>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</si>
  <si>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</si>
  <si>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</si>
  <si>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</si>
  <si>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</si>
  <si>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</si>
  <si>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</si>
  <si>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</si>
  <si>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</si>
  <si>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</si>
  <si>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</si>
  <si>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</si>
  <si>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</si>
  <si>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</si>
  <si>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650 0113 6000002400 851</t>
  </si>
  <si>
    <t>Налоги, пошлины и сборы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</si>
  <si>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</si>
  <si>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</si>
  <si>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</si>
  <si>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</si>
  <si>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</si>
  <si>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</si>
  <si>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</si>
  <si>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</si>
  <si>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</si>
  <si>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</si>
  <si>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</si>
  <si>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</si>
  <si>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</si>
  <si>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</si>
  <si>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</si>
  <si>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</si>
  <si>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</si>
  <si>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</si>
  <si>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</si>
  <si>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</si>
  <si>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</si>
  <si>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</si>
  <si>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</si>
  <si>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650 0409 0400192400 244</t>
  </si>
  <si>
    <t>650 0409 0410092400 244</t>
  </si>
  <si>
    <t>650 0409 0420092400 244</t>
  </si>
  <si>
    <t>650 0409 0430092400 244</t>
  </si>
  <si>
    <t>650 0409 6000082390 540</t>
  </si>
  <si>
    <t>650 0409 6000089190 540</t>
  </si>
  <si>
    <t>650 0409 60000S2390 540</t>
  </si>
  <si>
    <t>650 0409 60000S9190 540</t>
  </si>
  <si>
    <t>650 0410 0300092400 242</t>
  </si>
  <si>
    <t>650 0410 6000002400 242</t>
  </si>
  <si>
    <t>650 0501 0500192400 244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</si>
  <si>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</si>
  <si>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</si>
  <si>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</si>
  <si>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</si>
  <si>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</si>
  <si>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</si>
  <si>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650 0501 0500692400 632</t>
  </si>
  <si>
    <t>242</t>
  </si>
  <si>
    <t>650 0501 0500692400 811</t>
  </si>
  <si>
    <t>650 0502 6000082590 540</t>
  </si>
  <si>
    <t>650 0502 6000082591 540</t>
  </si>
  <si>
    <t>650 0502 60000S2590 540</t>
  </si>
  <si>
    <t>650 0502 60000S2591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</si>
  <si>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</si>
  <si>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</si>
  <si>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</si>
  <si>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</si>
  <si>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</si>
  <si>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</si>
  <si>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</si>
  <si>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0503 60000L5550 540</t>
  </si>
  <si>
    <t>650 0503 60000R5550 540</t>
  </si>
  <si>
    <t>650 0505 6000002040 540</t>
  </si>
  <si>
    <t>650 0707 6000000540 540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</si>
  <si>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</si>
  <si>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</si>
  <si>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</si>
  <si>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</si>
  <si>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</si>
  <si>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Пенсии, пособия, выплачиваемые организациями сектора государственного управления</t>
  </si>
  <si>
    <t>650 0707 6000000590 321</t>
  </si>
  <si>
    <t>263</t>
  </si>
  <si>
    <t>650 0707 6000000590 851</t>
  </si>
  <si>
    <t>650 0707 6000000590 853</t>
  </si>
  <si>
    <t>650 0707 6000085150 111</t>
  </si>
  <si>
    <t>650 0707 6000085150 119</t>
  </si>
  <si>
    <t>650 0707 6000085150 540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</si>
  <si>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</si>
  <si>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</si>
  <si>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</si>
  <si>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</si>
  <si>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</si>
  <si>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</si>
  <si>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</si>
  <si>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</si>
  <si>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650 0801 6000082580 111</t>
  </si>
  <si>
    <t>650 0801 6000082580 119</t>
  </si>
  <si>
    <t>650 0801 60000S2580 111</t>
  </si>
  <si>
    <t>650 0801 60000S2580 119</t>
  </si>
  <si>
    <t>650 1001 6000000220 321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</si>
  <si>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</si>
  <si>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</si>
  <si>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</si>
  <si>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</si>
  <si>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</si>
  <si>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</si>
  <si>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</si>
  <si>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</si>
  <si>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</si>
  <si>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</si>
  <si>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</si>
  <si>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</si>
  <si>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</si>
  <si>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</si>
  <si>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</si>
  <si>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</si>
  <si>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</si>
  <si>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</si>
  <si>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</si>
  <si>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</si>
  <si>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</si>
  <si>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</si>
  <si>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</si>
  <si>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С. Г. Ермаков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</si>
  <si>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</si>
  <si>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</si>
  <si>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</si>
  <si>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</si>
  <si>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</si>
  <si>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</si>
  <si>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</si>
  <si>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</si>
  <si>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16 октября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</si>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</sst>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43374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71154018.06</f>
        <v>71154018.06</v>
      </c>
      <c r="T12" s="21"/>
      <c r="U12" s="21"/>
      <c r="V12" s="21">
        <f>34960783.62</f>
        <v>34960783.62</v>
      </c>
      <c r="W12" s="21"/>
      <c r="X12" s="21"/>
      <c r="Y12" s="21"/>
      <c r="Z12" s="21"/>
      <c r="AA12" s="22">
        <f>36193234.44</f>
        <v>36193234.44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86189.56</f>
        <v>86189.56</v>
      </c>
      <c r="W13" s="25"/>
      <c r="X13" s="25"/>
      <c r="Y13" s="25"/>
      <c r="Z13" s="25"/>
      <c r="AA13" s="26">
        <f>63810.44</f>
        <v>63810.44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26313.52</f>
        <v>26313.52</v>
      </c>
      <c r="W14" s="25"/>
      <c r="X14" s="25"/>
      <c r="Y14" s="25"/>
      <c r="Z14" s="25"/>
      <c r="AA14" s="26">
        <f>33686.48</f>
        <v>33686.48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1397865.71</f>
        <v>1397865.71</v>
      </c>
      <c r="T15" s="25"/>
      <c r="U15" s="25"/>
      <c r="V15" s="25">
        <f>1265070.61</f>
        <v>1265070.61</v>
      </c>
      <c r="W15" s="25"/>
      <c r="X15" s="25"/>
      <c r="Y15" s="25"/>
      <c r="Z15" s="25"/>
      <c r="AA15" s="26">
        <f>132795.1</f>
        <v>132795.1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10072.78</f>
        <v>10072.78</v>
      </c>
      <c r="T16" s="25"/>
      <c r="U16" s="25"/>
      <c r="V16" s="25">
        <f>11474.44</f>
        <v>11474.44</v>
      </c>
      <c r="W16" s="25"/>
      <c r="X16" s="25"/>
      <c r="Y16" s="25"/>
      <c r="Z16" s="25"/>
      <c r="AA16" s="27" t="s">
        <v>45</v>
      </c>
      <c r="AB16" s="27"/>
      <c r="AC16" s="27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2557233.58</f>
        <v>2557233.58</v>
      </c>
      <c r="T17" s="25"/>
      <c r="U17" s="25"/>
      <c r="V17" s="25">
        <f>1911827.57</f>
        <v>1911827.57</v>
      </c>
      <c r="W17" s="25"/>
      <c r="X17" s="25"/>
      <c r="Y17" s="25"/>
      <c r="Z17" s="25"/>
      <c r="AA17" s="26">
        <f>645406.01</f>
        <v>645406.01</v>
      </c>
      <c r="AB17" s="26"/>
      <c r="AC17" s="26"/>
    </row>
    <row r="18" spans="1:29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-270046.72</f>
        <v>-270046.72</v>
      </c>
      <c r="T18" s="25"/>
      <c r="U18" s="25"/>
      <c r="V18" s="25">
        <f>-283371</f>
        <v>-283371</v>
      </c>
      <c r="W18" s="25"/>
      <c r="X18" s="25"/>
      <c r="Y18" s="25"/>
      <c r="Z18" s="25"/>
      <c r="AA18" s="27" t="s">
        <v>45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3840000</f>
        <v>3840000</v>
      </c>
      <c r="T19" s="25"/>
      <c r="U19" s="25"/>
      <c r="V19" s="25">
        <f>3342224.81</f>
        <v>3342224.81</v>
      </c>
      <c r="W19" s="25"/>
      <c r="X19" s="25"/>
      <c r="Y19" s="25"/>
      <c r="Z19" s="25"/>
      <c r="AA19" s="26">
        <f>497775.19</f>
        <v>497775.19</v>
      </c>
      <c r="AB19" s="26"/>
      <c r="AC19" s="26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786.5</f>
        <v>786.5</v>
      </c>
      <c r="T20" s="25"/>
      <c r="U20" s="25"/>
      <c r="V20" s="25">
        <f>786.5</f>
        <v>786.5</v>
      </c>
      <c r="W20" s="25"/>
      <c r="X20" s="25"/>
      <c r="Y20" s="25"/>
      <c r="Z20" s="25"/>
      <c r="AA20" s="26">
        <f>0</f>
        <v>0</v>
      </c>
      <c r="AB20" s="26"/>
      <c r="AC20" s="26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4453.94</f>
        <v>4453.94</v>
      </c>
      <c r="T21" s="25"/>
      <c r="U21" s="25"/>
      <c r="V21" s="25">
        <f>4487</f>
        <v>4487</v>
      </c>
      <c r="W21" s="25"/>
      <c r="X21" s="25"/>
      <c r="Y21" s="25"/>
      <c r="Z21" s="25"/>
      <c r="AA21" s="27" t="s">
        <v>45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315000</f>
        <v>315000</v>
      </c>
      <c r="T22" s="25"/>
      <c r="U22" s="25"/>
      <c r="V22" s="25">
        <f>243177.56</f>
        <v>243177.56</v>
      </c>
      <c r="W22" s="25"/>
      <c r="X22" s="25"/>
      <c r="Y22" s="25"/>
      <c r="Z22" s="25"/>
      <c r="AA22" s="26">
        <f>71822.44</f>
        <v>71822.44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52500</f>
        <v>52500</v>
      </c>
      <c r="T23" s="25"/>
      <c r="U23" s="25"/>
      <c r="V23" s="25">
        <f>29118.32</f>
        <v>29118.32</v>
      </c>
      <c r="W23" s="25"/>
      <c r="X23" s="25"/>
      <c r="Y23" s="25"/>
      <c r="Z23" s="25"/>
      <c r="AA23" s="26">
        <f>23381.68</f>
        <v>23381.68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141000</f>
        <v>141000</v>
      </c>
      <c r="T24" s="25"/>
      <c r="U24" s="25"/>
      <c r="V24" s="25">
        <f>74665.28</f>
        <v>74665.28</v>
      </c>
      <c r="W24" s="25"/>
      <c r="X24" s="25"/>
      <c r="Y24" s="25"/>
      <c r="Z24" s="25"/>
      <c r="AA24" s="26">
        <f>66334.72</f>
        <v>66334.72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500000</f>
        <v>500000</v>
      </c>
      <c r="T25" s="25"/>
      <c r="U25" s="25"/>
      <c r="V25" s="25">
        <f>190192.84</f>
        <v>190192.84</v>
      </c>
      <c r="W25" s="25"/>
      <c r="X25" s="25"/>
      <c r="Y25" s="25"/>
      <c r="Z25" s="25"/>
      <c r="AA25" s="26">
        <f>309807.16</f>
        <v>309807.16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140000</f>
        <v>140000</v>
      </c>
      <c r="T26" s="25"/>
      <c r="U26" s="25"/>
      <c r="V26" s="25">
        <f>111716.36</f>
        <v>111716.36</v>
      </c>
      <c r="W26" s="25"/>
      <c r="X26" s="25"/>
      <c r="Y26" s="25"/>
      <c r="Z26" s="25"/>
      <c r="AA26" s="26">
        <f>28283.64</f>
        <v>28283.64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75000</f>
        <v>75000</v>
      </c>
      <c r="T27" s="25"/>
      <c r="U27" s="25"/>
      <c r="V27" s="25">
        <f>40880</f>
        <v>40880</v>
      </c>
      <c r="W27" s="25"/>
      <c r="X27" s="25"/>
      <c r="Y27" s="25"/>
      <c r="Z27" s="25"/>
      <c r="AA27" s="26">
        <f>34120</f>
        <v>34120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90000</f>
        <v>90000</v>
      </c>
      <c r="T28" s="25"/>
      <c r="U28" s="25"/>
      <c r="V28" s="25">
        <f>10287.38</f>
        <v>10287.38</v>
      </c>
      <c r="W28" s="25"/>
      <c r="X28" s="25"/>
      <c r="Y28" s="25"/>
      <c r="Z28" s="25"/>
      <c r="AA28" s="26">
        <f>79712.62</f>
        <v>79712.62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729200</f>
        <v>729200</v>
      </c>
      <c r="T29" s="25"/>
      <c r="U29" s="25"/>
      <c r="V29" s="25">
        <f>555557.08</f>
        <v>555557.08</v>
      </c>
      <c r="W29" s="25"/>
      <c r="X29" s="25"/>
      <c r="Y29" s="25"/>
      <c r="Z29" s="25"/>
      <c r="AA29" s="26">
        <f>173642.92</f>
        <v>173642.92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272214</f>
        <v>272214</v>
      </c>
      <c r="T30" s="25"/>
      <c r="U30" s="25"/>
      <c r="V30" s="25">
        <f>225530</f>
        <v>225530</v>
      </c>
      <c r="W30" s="25"/>
      <c r="X30" s="25"/>
      <c r="Y30" s="25"/>
      <c r="Z30" s="25"/>
      <c r="AA30" s="26">
        <f>46684</f>
        <v>46684</v>
      </c>
      <c r="AB30" s="26"/>
      <c r="AC30" s="26"/>
    </row>
    <row r="31" spans="1:29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8" t="s">
        <v>45</v>
      </c>
      <c r="T31" s="28"/>
      <c r="U31" s="28"/>
      <c r="V31" s="25">
        <f>0</f>
        <v>0</v>
      </c>
      <c r="W31" s="25"/>
      <c r="X31" s="25"/>
      <c r="Y31" s="25"/>
      <c r="Z31" s="25"/>
      <c r="AA31" s="27" t="s">
        <v>45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24817600</f>
        <v>24817600</v>
      </c>
      <c r="T32" s="25"/>
      <c r="U32" s="25"/>
      <c r="V32" s="25">
        <f>19160473.38</f>
        <v>19160473.38</v>
      </c>
      <c r="W32" s="25"/>
      <c r="X32" s="25"/>
      <c r="Y32" s="25"/>
      <c r="Z32" s="25"/>
      <c r="AA32" s="26">
        <f>5657126.62</f>
        <v>5657126.62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350000</f>
        <v>350000</v>
      </c>
      <c r="T33" s="25"/>
      <c r="U33" s="25"/>
      <c r="V33" s="25">
        <f>272190</f>
        <v>272190</v>
      </c>
      <c r="W33" s="25"/>
      <c r="X33" s="25"/>
      <c r="Y33" s="25"/>
      <c r="Z33" s="25"/>
      <c r="AA33" s="26">
        <f>77810</f>
        <v>77810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10000</f>
        <v>10000</v>
      </c>
      <c r="T34" s="25"/>
      <c r="U34" s="25"/>
      <c r="V34" s="25">
        <f>10000</f>
        <v>10000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393800</f>
        <v>393800</v>
      </c>
      <c r="T35" s="25"/>
      <c r="U35" s="25"/>
      <c r="V35" s="25">
        <f>281000</f>
        <v>281000</v>
      </c>
      <c r="W35" s="25"/>
      <c r="X35" s="25"/>
      <c r="Y35" s="25"/>
      <c r="Z35" s="25"/>
      <c r="AA35" s="26">
        <f>112800</f>
        <v>112800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71330</f>
        <v>71330</v>
      </c>
      <c r="T36" s="25"/>
      <c r="U36" s="25"/>
      <c r="V36" s="25">
        <f>53460</f>
        <v>53460</v>
      </c>
      <c r="W36" s="25"/>
      <c r="X36" s="25"/>
      <c r="Y36" s="25"/>
      <c r="Z36" s="25"/>
      <c r="AA36" s="26">
        <f>17870</f>
        <v>17870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35443764.38</f>
        <v>35443764.38</v>
      </c>
      <c r="T37" s="25"/>
      <c r="U37" s="25"/>
      <c r="V37" s="25">
        <f>7335288.52</f>
        <v>7335288.52</v>
      </c>
      <c r="W37" s="25"/>
      <c r="X37" s="25"/>
      <c r="Y37" s="25"/>
      <c r="Z37" s="25"/>
      <c r="AA37" s="26">
        <f>28108475.86</f>
        <v>28108475.86</v>
      </c>
      <c r="AB37" s="26"/>
      <c r="AC37" s="26"/>
    </row>
    <row r="38" spans="1:29" s="1" customFormat="1" ht="54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8" t="s">
        <v>45</v>
      </c>
      <c r="T38" s="28"/>
      <c r="U38" s="28"/>
      <c r="V38" s="25">
        <f>0</f>
        <v>0</v>
      </c>
      <c r="W38" s="25"/>
      <c r="X38" s="25"/>
      <c r="Y38" s="25"/>
      <c r="Z38" s="25"/>
      <c r="AA38" s="27" t="s">
        <v>45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2243.89</f>
        <v>2243.89</v>
      </c>
      <c r="T39" s="25"/>
      <c r="U39" s="25"/>
      <c r="V39" s="25">
        <f>2243.89</f>
        <v>2243.89</v>
      </c>
      <c r="W39" s="25"/>
      <c r="X39" s="25"/>
      <c r="Y39" s="25"/>
      <c r="Z39" s="25"/>
      <c r="AA39" s="26">
        <f>0</f>
        <v>0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73401809.1</f>
        <v>73401809.1</v>
      </c>
      <c r="U44" s="21"/>
      <c r="V44" s="21"/>
      <c r="W44" s="21">
        <f>35192150.07</f>
        <v>35192150.07</v>
      </c>
      <c r="X44" s="21"/>
      <c r="Y44" s="21"/>
      <c r="Z44" s="21"/>
      <c r="AA44" s="21"/>
      <c r="AB44" s="22">
        <f>38209659.03</f>
        <v>38209659.03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1363285</f>
        <v>1363285</v>
      </c>
      <c r="U45" s="34"/>
      <c r="V45" s="34"/>
      <c r="W45" s="34">
        <f>1023345.85</f>
        <v>1023345.85</v>
      </c>
      <c r="X45" s="34"/>
      <c r="Y45" s="34"/>
      <c r="Z45" s="34"/>
      <c r="AA45" s="34"/>
      <c r="AB45" s="35">
        <f>339939.15</f>
        <v>339939.15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338132</f>
        <v>338132</v>
      </c>
      <c r="U46" s="34"/>
      <c r="V46" s="34"/>
      <c r="W46" s="34">
        <f>281350.17</f>
        <v>281350.17</v>
      </c>
      <c r="X46" s="34"/>
      <c r="Y46" s="34"/>
      <c r="Z46" s="34"/>
      <c r="AA46" s="34"/>
      <c r="AB46" s="35">
        <f>56781.83</f>
        <v>56781.83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9284978</f>
        <v>9284978</v>
      </c>
      <c r="U47" s="34"/>
      <c r="V47" s="34"/>
      <c r="W47" s="34">
        <f>7372370.2</f>
        <v>7372370.2</v>
      </c>
      <c r="X47" s="34"/>
      <c r="Y47" s="34"/>
      <c r="Z47" s="34"/>
      <c r="AA47" s="34"/>
      <c r="AB47" s="35">
        <f>1912607.8</f>
        <v>1912607.8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70000</f>
        <v>70000</v>
      </c>
      <c r="U48" s="34"/>
      <c r="V48" s="34"/>
      <c r="W48" s="34">
        <f>39086.3</f>
        <v>39086.3</v>
      </c>
      <c r="X48" s="34"/>
      <c r="Y48" s="34"/>
      <c r="Z48" s="34"/>
      <c r="AA48" s="34"/>
      <c r="AB48" s="35">
        <f>30913.7</f>
        <v>30913.7</v>
      </c>
      <c r="AC48" s="35"/>
    </row>
    <row r="49" spans="1:29" s="1" customFormat="1" ht="13.5" customHeight="1">
      <c r="A49" s="31" t="s">
        <v>101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103</v>
      </c>
      <c r="S49" s="33"/>
      <c r="T49" s="34">
        <f>2793823</f>
        <v>2793823</v>
      </c>
      <c r="U49" s="34"/>
      <c r="V49" s="34"/>
      <c r="W49" s="34">
        <f>2203639.52</f>
        <v>2203639.52</v>
      </c>
      <c r="X49" s="34"/>
      <c r="Y49" s="34"/>
      <c r="Z49" s="34"/>
      <c r="AA49" s="34"/>
      <c r="AB49" s="35">
        <f>590183.48</f>
        <v>590183.48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110</v>
      </c>
      <c r="P50" s="32"/>
      <c r="Q50" s="32"/>
      <c r="R50" s="33" t="s">
        <v>111</v>
      </c>
      <c r="S50" s="33"/>
      <c r="T50" s="34">
        <f>202653</f>
        <v>202653</v>
      </c>
      <c r="U50" s="34"/>
      <c r="V50" s="34"/>
      <c r="W50" s="34">
        <f>151989.75</f>
        <v>151989.75</v>
      </c>
      <c r="X50" s="34"/>
      <c r="Y50" s="34"/>
      <c r="Z50" s="34"/>
      <c r="AA50" s="34"/>
      <c r="AB50" s="35">
        <f>50663.25</f>
        <v>50663.25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113</v>
      </c>
      <c r="P51" s="32"/>
      <c r="Q51" s="32"/>
      <c r="R51" s="33" t="s">
        <v>114</v>
      </c>
      <c r="S51" s="33"/>
      <c r="T51" s="34">
        <f>475852</f>
        <v>475852</v>
      </c>
      <c r="U51" s="34"/>
      <c r="V51" s="34"/>
      <c r="W51" s="34">
        <f>475852</f>
        <v>475852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115</v>
      </c>
      <c r="P52" s="32"/>
      <c r="Q52" s="32"/>
      <c r="R52" s="33" t="s">
        <v>114</v>
      </c>
      <c r="S52" s="33"/>
      <c r="T52" s="34">
        <f>112862</f>
        <v>112862</v>
      </c>
      <c r="U52" s="34"/>
      <c r="V52" s="34"/>
      <c r="W52" s="34">
        <f>112862</f>
        <v>112862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117</v>
      </c>
      <c r="P53" s="32"/>
      <c r="Q53" s="32"/>
      <c r="R53" s="33" t="s">
        <v>118</v>
      </c>
      <c r="S53" s="33"/>
      <c r="T53" s="34">
        <f>0</f>
        <v>0</v>
      </c>
      <c r="U53" s="34"/>
      <c r="V53" s="34"/>
      <c r="W53" s="36" t="s">
        <v>45</v>
      </c>
      <c r="X53" s="36"/>
      <c r="Y53" s="36"/>
      <c r="Z53" s="36"/>
      <c r="AA53" s="36"/>
      <c r="AB53" s="37" t="s">
        <v>45</v>
      </c>
      <c r="AC53" s="37"/>
    </row>
    <row r="54" spans="1:29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117</v>
      </c>
      <c r="P54" s="32"/>
      <c r="Q54" s="32"/>
      <c r="R54" s="33" t="s">
        <v>114</v>
      </c>
      <c r="S54" s="33"/>
      <c r="T54" s="34">
        <f>0</f>
        <v>0</v>
      </c>
      <c r="U54" s="34"/>
      <c r="V54" s="34"/>
      <c r="W54" s="36" t="s">
        <v>45</v>
      </c>
      <c r="X54" s="36"/>
      <c r="Y54" s="36"/>
      <c r="Z54" s="36"/>
      <c r="AA54" s="36"/>
      <c r="AB54" s="37" t="s">
        <v>45</v>
      </c>
      <c r="AC54" s="37"/>
    </row>
    <row r="55" spans="1:29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119</v>
      </c>
      <c r="P55" s="32"/>
      <c r="Q55" s="32"/>
      <c r="R55" s="33" t="s">
        <v>118</v>
      </c>
      <c r="S55" s="33"/>
      <c r="T55" s="34">
        <f>0</f>
        <v>0</v>
      </c>
      <c r="U55" s="34"/>
      <c r="V55" s="34"/>
      <c r="W55" s="36" t="s">
        <v>45</v>
      </c>
      <c r="X55" s="36"/>
      <c r="Y55" s="36"/>
      <c r="Z55" s="36"/>
      <c r="AA55" s="36"/>
      <c r="AB55" s="37" t="s">
        <v>45</v>
      </c>
      <c r="AC55" s="37"/>
    </row>
    <row r="56" spans="1:29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119</v>
      </c>
      <c r="P56" s="32"/>
      <c r="Q56" s="32"/>
      <c r="R56" s="33" t="s">
        <v>114</v>
      </c>
      <c r="S56" s="33"/>
      <c r="T56" s="34">
        <f>0</f>
        <v>0</v>
      </c>
      <c r="U56" s="34"/>
      <c r="V56" s="34"/>
      <c r="W56" s="36" t="s">
        <v>45</v>
      </c>
      <c r="X56" s="36"/>
      <c r="Y56" s="36"/>
      <c r="Z56" s="36"/>
      <c r="AA56" s="36"/>
      <c r="AB56" s="37" t="s">
        <v>45</v>
      </c>
      <c r="AC56" s="37"/>
    </row>
    <row r="57" spans="1:29" s="1" customFormat="1" ht="13.5" customHeight="1">
      <c r="A57" s="31" t="s">
        <v>116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120</v>
      </c>
      <c r="P57" s="32"/>
      <c r="Q57" s="32"/>
      <c r="R57" s="33" t="s">
        <v>118</v>
      </c>
      <c r="S57" s="33"/>
      <c r="T57" s="34">
        <f>0</f>
        <v>0</v>
      </c>
      <c r="U57" s="34"/>
      <c r="V57" s="34"/>
      <c r="W57" s="36" t="s">
        <v>45</v>
      </c>
      <c r="X57" s="36"/>
      <c r="Y57" s="36"/>
      <c r="Z57" s="36"/>
      <c r="AA57" s="36"/>
      <c r="AB57" s="37" t="s">
        <v>45</v>
      </c>
      <c r="AC57" s="37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120</v>
      </c>
      <c r="P58" s="32"/>
      <c r="Q58" s="32"/>
      <c r="R58" s="33" t="s">
        <v>114</v>
      </c>
      <c r="S58" s="33"/>
      <c r="T58" s="34">
        <f>100000</f>
        <v>100000</v>
      </c>
      <c r="U58" s="34"/>
      <c r="V58" s="34"/>
      <c r="W58" s="36" t="s">
        <v>45</v>
      </c>
      <c r="X58" s="36"/>
      <c r="Y58" s="36"/>
      <c r="Z58" s="36"/>
      <c r="AA58" s="36"/>
      <c r="AB58" s="35">
        <f>100000</f>
        <v>100000</v>
      </c>
      <c r="AC58" s="35"/>
    </row>
    <row r="59" spans="1:29" s="1" customFormat="1" ht="13.5" customHeight="1">
      <c r="A59" s="31" t="s">
        <v>105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121</v>
      </c>
      <c r="P59" s="32"/>
      <c r="Q59" s="32"/>
      <c r="R59" s="33" t="s">
        <v>107</v>
      </c>
      <c r="S59" s="33"/>
      <c r="T59" s="34">
        <f>50000</f>
        <v>50000</v>
      </c>
      <c r="U59" s="34"/>
      <c r="V59" s="34"/>
      <c r="W59" s="36" t="s">
        <v>45</v>
      </c>
      <c r="X59" s="36"/>
      <c r="Y59" s="36"/>
      <c r="Z59" s="36"/>
      <c r="AA59" s="36"/>
      <c r="AB59" s="35">
        <f>50000</f>
        <v>50000</v>
      </c>
      <c r="AC59" s="35"/>
    </row>
    <row r="60" spans="1:29" s="1" customFormat="1" ht="13.5" customHeight="1">
      <c r="A60" s="31" t="s">
        <v>122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123</v>
      </c>
      <c r="P60" s="32"/>
      <c r="Q60" s="32"/>
      <c r="R60" s="33" t="s">
        <v>124</v>
      </c>
      <c r="S60" s="33"/>
      <c r="T60" s="34">
        <f>50000</f>
        <v>50000</v>
      </c>
      <c r="U60" s="34"/>
      <c r="V60" s="34"/>
      <c r="W60" s="36" t="s">
        <v>45</v>
      </c>
      <c r="X60" s="36"/>
      <c r="Y60" s="36"/>
      <c r="Z60" s="36"/>
      <c r="AA60" s="36"/>
      <c r="AB60" s="35">
        <f>50000</f>
        <v>50000</v>
      </c>
      <c r="AC60" s="35"/>
    </row>
    <row r="61" spans="1:29" s="1" customFormat="1" ht="13.5" customHeight="1">
      <c r="A61" s="31" t="s">
        <v>105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125</v>
      </c>
      <c r="P61" s="32"/>
      <c r="Q61" s="32"/>
      <c r="R61" s="33" t="s">
        <v>107</v>
      </c>
      <c r="S61" s="33"/>
      <c r="T61" s="34">
        <f>250000</f>
        <v>250000</v>
      </c>
      <c r="U61" s="34"/>
      <c r="V61" s="34"/>
      <c r="W61" s="34">
        <f>44360</f>
        <v>44360</v>
      </c>
      <c r="X61" s="34"/>
      <c r="Y61" s="34"/>
      <c r="Z61" s="34"/>
      <c r="AA61" s="34"/>
      <c r="AB61" s="35">
        <f>205640</f>
        <v>205640</v>
      </c>
      <c r="AC61" s="35"/>
    </row>
    <row r="62" spans="1:29" s="1" customFormat="1" ht="13.5" customHeight="1">
      <c r="A62" s="31" t="s">
        <v>126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127</v>
      </c>
      <c r="P62" s="32"/>
      <c r="Q62" s="32"/>
      <c r="R62" s="33" t="s">
        <v>128</v>
      </c>
      <c r="S62" s="33"/>
      <c r="T62" s="34">
        <f>22500</f>
        <v>22500</v>
      </c>
      <c r="U62" s="34"/>
      <c r="V62" s="34"/>
      <c r="W62" s="34">
        <f>16709.68</f>
        <v>16709.68</v>
      </c>
      <c r="X62" s="34"/>
      <c r="Y62" s="34"/>
      <c r="Z62" s="34"/>
      <c r="AA62" s="34"/>
      <c r="AB62" s="35">
        <f>5790.32</f>
        <v>5790.32</v>
      </c>
      <c r="AC62" s="35"/>
    </row>
    <row r="63" spans="1:29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127</v>
      </c>
      <c r="P63" s="32"/>
      <c r="Q63" s="32"/>
      <c r="R63" s="33" t="s">
        <v>130</v>
      </c>
      <c r="S63" s="33"/>
      <c r="T63" s="34">
        <f>80000</f>
        <v>80000</v>
      </c>
      <c r="U63" s="34"/>
      <c r="V63" s="34"/>
      <c r="W63" s="34">
        <f>36270.4</f>
        <v>36270.4</v>
      </c>
      <c r="X63" s="34"/>
      <c r="Y63" s="34"/>
      <c r="Z63" s="34"/>
      <c r="AA63" s="34"/>
      <c r="AB63" s="35">
        <f>43729.6</f>
        <v>43729.6</v>
      </c>
      <c r="AC63" s="35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127</v>
      </c>
      <c r="P64" s="32"/>
      <c r="Q64" s="32"/>
      <c r="R64" s="33" t="s">
        <v>132</v>
      </c>
      <c r="S64" s="33"/>
      <c r="T64" s="34">
        <f>350000</f>
        <v>350000</v>
      </c>
      <c r="U64" s="34"/>
      <c r="V64" s="34"/>
      <c r="W64" s="34">
        <f>186032.92</f>
        <v>186032.92</v>
      </c>
      <c r="X64" s="34"/>
      <c r="Y64" s="34"/>
      <c r="Z64" s="34"/>
      <c r="AA64" s="34"/>
      <c r="AB64" s="35">
        <f>163967.08</f>
        <v>163967.08</v>
      </c>
      <c r="AC64" s="35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127</v>
      </c>
      <c r="P65" s="32"/>
      <c r="Q65" s="32"/>
      <c r="R65" s="33" t="s">
        <v>134</v>
      </c>
      <c r="S65" s="33"/>
      <c r="T65" s="34">
        <f>136415.49</f>
        <v>136415.49</v>
      </c>
      <c r="U65" s="34"/>
      <c r="V65" s="34"/>
      <c r="W65" s="34">
        <f>71110.91</f>
        <v>71110.91</v>
      </c>
      <c r="X65" s="34"/>
      <c r="Y65" s="34"/>
      <c r="Z65" s="34"/>
      <c r="AA65" s="34"/>
      <c r="AB65" s="35">
        <f>65304.58</f>
        <v>65304.58</v>
      </c>
      <c r="AC65" s="35"/>
    </row>
    <row r="66" spans="1:29" s="1" customFormat="1" ht="13.5" customHeight="1">
      <c r="A66" s="31" t="s">
        <v>122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127</v>
      </c>
      <c r="P66" s="32"/>
      <c r="Q66" s="32"/>
      <c r="R66" s="33" t="s">
        <v>124</v>
      </c>
      <c r="S66" s="33"/>
      <c r="T66" s="34">
        <f>170000</f>
        <v>170000</v>
      </c>
      <c r="U66" s="34"/>
      <c r="V66" s="34"/>
      <c r="W66" s="34">
        <f>128078.32</f>
        <v>128078.32</v>
      </c>
      <c r="X66" s="34"/>
      <c r="Y66" s="34"/>
      <c r="Z66" s="34"/>
      <c r="AA66" s="34"/>
      <c r="AB66" s="35">
        <f>41921.68</f>
        <v>41921.68</v>
      </c>
      <c r="AC66" s="35"/>
    </row>
    <row r="67" spans="1:29" s="1" customFormat="1" ht="13.5" customHeight="1">
      <c r="A67" s="31" t="s">
        <v>116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127</v>
      </c>
      <c r="P67" s="32"/>
      <c r="Q67" s="32"/>
      <c r="R67" s="33" t="s">
        <v>118</v>
      </c>
      <c r="S67" s="33"/>
      <c r="T67" s="34">
        <f>0</f>
        <v>0</v>
      </c>
      <c r="U67" s="34"/>
      <c r="V67" s="34"/>
      <c r="W67" s="34">
        <f>0</f>
        <v>0</v>
      </c>
      <c r="X67" s="34"/>
      <c r="Y67" s="34"/>
      <c r="Z67" s="34"/>
      <c r="AA67" s="34"/>
      <c r="AB67" s="37" t="s">
        <v>45</v>
      </c>
      <c r="AC67" s="37"/>
    </row>
    <row r="68" spans="1:29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127</v>
      </c>
      <c r="P68" s="32"/>
      <c r="Q68" s="32"/>
      <c r="R68" s="33" t="s">
        <v>114</v>
      </c>
      <c r="S68" s="33"/>
      <c r="T68" s="34">
        <f>75000</f>
        <v>75000</v>
      </c>
      <c r="U68" s="34"/>
      <c r="V68" s="34"/>
      <c r="W68" s="34">
        <f>23897.59</f>
        <v>23897.59</v>
      </c>
      <c r="X68" s="34"/>
      <c r="Y68" s="34"/>
      <c r="Z68" s="34"/>
      <c r="AA68" s="34"/>
      <c r="AB68" s="35">
        <f>51102.41</f>
        <v>51102.41</v>
      </c>
      <c r="AC68" s="35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127</v>
      </c>
      <c r="P69" s="32"/>
      <c r="Q69" s="32"/>
      <c r="R69" s="33" t="s">
        <v>136</v>
      </c>
      <c r="S69" s="33"/>
      <c r="T69" s="34">
        <f>53260</f>
        <v>53260</v>
      </c>
      <c r="U69" s="34"/>
      <c r="V69" s="34"/>
      <c r="W69" s="34">
        <f>40000</f>
        <v>40000</v>
      </c>
      <c r="X69" s="34"/>
      <c r="Y69" s="34"/>
      <c r="Z69" s="34"/>
      <c r="AA69" s="34"/>
      <c r="AB69" s="35">
        <f>13260</f>
        <v>13260</v>
      </c>
      <c r="AC69" s="35"/>
    </row>
    <row r="70" spans="1:29" s="1" customFormat="1" ht="13.5" customHeight="1">
      <c r="A70" s="31" t="s">
        <v>137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127</v>
      </c>
      <c r="P70" s="32"/>
      <c r="Q70" s="32"/>
      <c r="R70" s="33" t="s">
        <v>138</v>
      </c>
      <c r="S70" s="33"/>
      <c r="T70" s="34">
        <f>843082.06</f>
        <v>843082.06</v>
      </c>
      <c r="U70" s="34"/>
      <c r="V70" s="34"/>
      <c r="W70" s="34">
        <f>257500.06</f>
        <v>257500.06</v>
      </c>
      <c r="X70" s="34"/>
      <c r="Y70" s="34"/>
      <c r="Z70" s="34"/>
      <c r="AA70" s="34"/>
      <c r="AB70" s="35">
        <f>585582</f>
        <v>585582</v>
      </c>
      <c r="AC70" s="35"/>
    </row>
    <row r="71" spans="1:29" s="1" customFormat="1" ht="13.5" customHeight="1">
      <c r="A71" s="31" t="s">
        <v>116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139</v>
      </c>
      <c r="P71" s="32"/>
      <c r="Q71" s="32"/>
      <c r="R71" s="33" t="s">
        <v>118</v>
      </c>
      <c r="S71" s="33"/>
      <c r="T71" s="34">
        <f>0</f>
        <v>0</v>
      </c>
      <c r="U71" s="34"/>
      <c r="V71" s="34"/>
      <c r="W71" s="36" t="s">
        <v>45</v>
      </c>
      <c r="X71" s="36"/>
      <c r="Y71" s="36"/>
      <c r="Z71" s="36"/>
      <c r="AA71" s="36"/>
      <c r="AB71" s="37" t="s">
        <v>45</v>
      </c>
      <c r="AC71" s="37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139</v>
      </c>
      <c r="P72" s="32"/>
      <c r="Q72" s="32"/>
      <c r="R72" s="33" t="s">
        <v>141</v>
      </c>
      <c r="S72" s="33"/>
      <c r="T72" s="34">
        <f>5000</f>
        <v>5000</v>
      </c>
      <c r="U72" s="34"/>
      <c r="V72" s="34"/>
      <c r="W72" s="34">
        <f>3079</f>
        <v>3079</v>
      </c>
      <c r="X72" s="34"/>
      <c r="Y72" s="34"/>
      <c r="Z72" s="34"/>
      <c r="AA72" s="34"/>
      <c r="AB72" s="35">
        <f>1921</f>
        <v>1921</v>
      </c>
      <c r="AC72" s="35"/>
    </row>
    <row r="73" spans="1:29" s="1" customFormat="1" ht="13.5" customHeight="1">
      <c r="A73" s="31" t="s">
        <v>116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142</v>
      </c>
      <c r="P73" s="32"/>
      <c r="Q73" s="32"/>
      <c r="R73" s="33" t="s">
        <v>118</v>
      </c>
      <c r="S73" s="33"/>
      <c r="T73" s="34">
        <f>0</f>
        <v>0</v>
      </c>
      <c r="U73" s="34"/>
      <c r="V73" s="34"/>
      <c r="W73" s="34">
        <f>0</f>
        <v>0</v>
      </c>
      <c r="X73" s="34"/>
      <c r="Y73" s="34"/>
      <c r="Z73" s="34"/>
      <c r="AA73" s="34"/>
      <c r="AB73" s="37" t="s">
        <v>45</v>
      </c>
      <c r="AC73" s="37"/>
    </row>
    <row r="74" spans="1:29" s="1" customFormat="1" ht="13.5" customHeight="1">
      <c r="A74" s="31" t="s">
        <v>140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142</v>
      </c>
      <c r="P74" s="32"/>
      <c r="Q74" s="32"/>
      <c r="R74" s="33" t="s">
        <v>141</v>
      </c>
      <c r="S74" s="33"/>
      <c r="T74" s="34">
        <f>1146</f>
        <v>1146</v>
      </c>
      <c r="U74" s="34"/>
      <c r="V74" s="34"/>
      <c r="W74" s="34">
        <f>1146</f>
        <v>1146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143</v>
      </c>
      <c r="P75" s="32"/>
      <c r="Q75" s="32"/>
      <c r="R75" s="33" t="s">
        <v>118</v>
      </c>
      <c r="S75" s="33"/>
      <c r="T75" s="34">
        <f>0</f>
        <v>0</v>
      </c>
      <c r="U75" s="34"/>
      <c r="V75" s="34"/>
      <c r="W75" s="34">
        <f>0</f>
        <v>0</v>
      </c>
      <c r="X75" s="34"/>
      <c r="Y75" s="34"/>
      <c r="Z75" s="34"/>
      <c r="AA75" s="34"/>
      <c r="AB75" s="37" t="s">
        <v>45</v>
      </c>
      <c r="AC75" s="37"/>
    </row>
    <row r="76" spans="1:29" s="1" customFormat="1" ht="13.5" customHeight="1">
      <c r="A76" s="31" t="s">
        <v>140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143</v>
      </c>
      <c r="P76" s="32"/>
      <c r="Q76" s="32"/>
      <c r="R76" s="33" t="s">
        <v>141</v>
      </c>
      <c r="S76" s="33"/>
      <c r="T76" s="34">
        <f>10000</f>
        <v>10000</v>
      </c>
      <c r="U76" s="34"/>
      <c r="V76" s="34"/>
      <c r="W76" s="34">
        <f>9310</f>
        <v>9310</v>
      </c>
      <c r="X76" s="34"/>
      <c r="Y76" s="34"/>
      <c r="Z76" s="34"/>
      <c r="AA76" s="34"/>
      <c r="AB76" s="35">
        <f>690</f>
        <v>690</v>
      </c>
      <c r="AC76" s="35"/>
    </row>
    <row r="77" spans="1:29" s="1" customFormat="1" ht="13.5" customHeight="1">
      <c r="A77" s="31" t="s">
        <v>144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143</v>
      </c>
      <c r="P77" s="32"/>
      <c r="Q77" s="32"/>
      <c r="R77" s="33" t="s">
        <v>145</v>
      </c>
      <c r="S77" s="33"/>
      <c r="T77" s="34">
        <f>150500</f>
        <v>150500</v>
      </c>
      <c r="U77" s="34"/>
      <c r="V77" s="34"/>
      <c r="W77" s="34">
        <f>150000</f>
        <v>150000</v>
      </c>
      <c r="X77" s="34"/>
      <c r="Y77" s="34"/>
      <c r="Z77" s="34"/>
      <c r="AA77" s="34"/>
      <c r="AB77" s="35">
        <f>500</f>
        <v>500</v>
      </c>
      <c r="AC77" s="35"/>
    </row>
    <row r="78" spans="1:29" s="1" customFormat="1" ht="13.5" customHeight="1">
      <c r="A78" s="31" t="s">
        <v>112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143</v>
      </c>
      <c r="P78" s="32"/>
      <c r="Q78" s="32"/>
      <c r="R78" s="33" t="s">
        <v>114</v>
      </c>
      <c r="S78" s="33"/>
      <c r="T78" s="34">
        <f>25000</f>
        <v>25000</v>
      </c>
      <c r="U78" s="34"/>
      <c r="V78" s="34"/>
      <c r="W78" s="34">
        <f>25000</f>
        <v>25000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98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146</v>
      </c>
      <c r="P79" s="32"/>
      <c r="Q79" s="32"/>
      <c r="R79" s="33" t="s">
        <v>100</v>
      </c>
      <c r="S79" s="33"/>
      <c r="T79" s="34">
        <f>277000</f>
        <v>277000</v>
      </c>
      <c r="U79" s="34"/>
      <c r="V79" s="34"/>
      <c r="W79" s="34">
        <f>206604.12</f>
        <v>206604.12</v>
      </c>
      <c r="X79" s="34"/>
      <c r="Y79" s="34"/>
      <c r="Z79" s="34"/>
      <c r="AA79" s="34"/>
      <c r="AB79" s="35">
        <f>70395.88</f>
        <v>70395.88</v>
      </c>
      <c r="AC79" s="35"/>
    </row>
    <row r="80" spans="1:29" s="1" customFormat="1" ht="13.5" customHeight="1">
      <c r="A80" s="31" t="s">
        <v>105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147</v>
      </c>
      <c r="P80" s="32"/>
      <c r="Q80" s="32"/>
      <c r="R80" s="33" t="s">
        <v>107</v>
      </c>
      <c r="S80" s="33"/>
      <c r="T80" s="34">
        <f>4146</f>
        <v>4146</v>
      </c>
      <c r="U80" s="34"/>
      <c r="V80" s="34"/>
      <c r="W80" s="34">
        <f>3162.4</f>
        <v>3162.4</v>
      </c>
      <c r="X80" s="34"/>
      <c r="Y80" s="34"/>
      <c r="Z80" s="34"/>
      <c r="AA80" s="34"/>
      <c r="AB80" s="35">
        <f>983.6</f>
        <v>983.6</v>
      </c>
      <c r="AC80" s="35"/>
    </row>
    <row r="81" spans="1:29" s="1" customFormat="1" ht="13.5" customHeight="1">
      <c r="A81" s="31" t="s">
        <v>101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148</v>
      </c>
      <c r="P81" s="32"/>
      <c r="Q81" s="32"/>
      <c r="R81" s="33" t="s">
        <v>103</v>
      </c>
      <c r="S81" s="33"/>
      <c r="T81" s="34">
        <f>83654</f>
        <v>83654</v>
      </c>
      <c r="U81" s="34"/>
      <c r="V81" s="34"/>
      <c r="W81" s="34">
        <f>64771.48</f>
        <v>64771.48</v>
      </c>
      <c r="X81" s="34"/>
      <c r="Y81" s="34"/>
      <c r="Z81" s="34"/>
      <c r="AA81" s="34"/>
      <c r="AB81" s="35">
        <f>18882.52</f>
        <v>18882.52</v>
      </c>
      <c r="AC81" s="35"/>
    </row>
    <row r="82" spans="1:29" s="1" customFormat="1" ht="13.5" customHeight="1">
      <c r="A82" s="31" t="s">
        <v>126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149</v>
      </c>
      <c r="P82" s="32"/>
      <c r="Q82" s="32"/>
      <c r="R82" s="33" t="s">
        <v>128</v>
      </c>
      <c r="S82" s="33"/>
      <c r="T82" s="34">
        <f>5000</f>
        <v>5000</v>
      </c>
      <c r="U82" s="34"/>
      <c r="V82" s="34"/>
      <c r="W82" s="34">
        <f>5000</f>
        <v>5000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150</v>
      </c>
      <c r="P83" s="32"/>
      <c r="Q83" s="32"/>
      <c r="R83" s="33" t="s">
        <v>132</v>
      </c>
      <c r="S83" s="33"/>
      <c r="T83" s="34">
        <f>19000</f>
        <v>19000</v>
      </c>
      <c r="U83" s="34"/>
      <c r="V83" s="34"/>
      <c r="W83" s="36" t="s">
        <v>45</v>
      </c>
      <c r="X83" s="36"/>
      <c r="Y83" s="36"/>
      <c r="Z83" s="36"/>
      <c r="AA83" s="36"/>
      <c r="AB83" s="35">
        <f>19000</f>
        <v>19000</v>
      </c>
      <c r="AC83" s="35"/>
    </row>
    <row r="84" spans="1:29" s="1" customFormat="1" ht="13.5" customHeight="1">
      <c r="A84" s="31" t="s">
        <v>135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150</v>
      </c>
      <c r="P84" s="32"/>
      <c r="Q84" s="32"/>
      <c r="R84" s="33" t="s">
        <v>136</v>
      </c>
      <c r="S84" s="33"/>
      <c r="T84" s="34">
        <f>662</f>
        <v>662</v>
      </c>
      <c r="U84" s="34"/>
      <c r="V84" s="34"/>
      <c r="W84" s="34">
        <f>662</f>
        <v>662</v>
      </c>
      <c r="X84" s="34"/>
      <c r="Y84" s="34"/>
      <c r="Z84" s="34"/>
      <c r="AA84" s="34"/>
      <c r="AB84" s="35">
        <f>0</f>
        <v>0</v>
      </c>
      <c r="AC84" s="35"/>
    </row>
    <row r="85" spans="1:29" s="1" customFormat="1" ht="13.5" customHeight="1">
      <c r="A85" s="31" t="s">
        <v>137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150</v>
      </c>
      <c r="P85" s="32"/>
      <c r="Q85" s="32"/>
      <c r="R85" s="33" t="s">
        <v>138</v>
      </c>
      <c r="S85" s="33"/>
      <c r="T85" s="34">
        <f>4338</f>
        <v>4338</v>
      </c>
      <c r="U85" s="34"/>
      <c r="V85" s="34"/>
      <c r="W85" s="34">
        <f>800</f>
        <v>800</v>
      </c>
      <c r="X85" s="34"/>
      <c r="Y85" s="34"/>
      <c r="Z85" s="34"/>
      <c r="AA85" s="34"/>
      <c r="AB85" s="35">
        <f>3538</f>
        <v>3538</v>
      </c>
      <c r="AC85" s="35"/>
    </row>
    <row r="86" spans="1:29" s="1" customFormat="1" ht="13.5" customHeight="1">
      <c r="A86" s="31" t="s">
        <v>98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151</v>
      </c>
      <c r="P86" s="32"/>
      <c r="Q86" s="32"/>
      <c r="R86" s="33" t="s">
        <v>100</v>
      </c>
      <c r="S86" s="33"/>
      <c r="T86" s="34">
        <f>48064</f>
        <v>48064</v>
      </c>
      <c r="U86" s="34"/>
      <c r="V86" s="34"/>
      <c r="W86" s="34">
        <f>35686.38</f>
        <v>35686.38</v>
      </c>
      <c r="X86" s="34"/>
      <c r="Y86" s="34"/>
      <c r="Z86" s="34"/>
      <c r="AA86" s="34"/>
      <c r="AB86" s="35">
        <f>12377.62</f>
        <v>12377.62</v>
      </c>
      <c r="AC86" s="35"/>
    </row>
    <row r="87" spans="1:29" s="1" customFormat="1" ht="13.5" customHeight="1">
      <c r="A87" s="31" t="s">
        <v>101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152</v>
      </c>
      <c r="P87" s="32"/>
      <c r="Q87" s="32"/>
      <c r="R87" s="33" t="s">
        <v>103</v>
      </c>
      <c r="S87" s="33"/>
      <c r="T87" s="34">
        <f>14516</f>
        <v>14516</v>
      </c>
      <c r="U87" s="34"/>
      <c r="V87" s="34"/>
      <c r="W87" s="34">
        <f>11248.62</f>
        <v>11248.62</v>
      </c>
      <c r="X87" s="34"/>
      <c r="Y87" s="34"/>
      <c r="Z87" s="34"/>
      <c r="AA87" s="34"/>
      <c r="AB87" s="35">
        <f>3267.38</f>
        <v>3267.38</v>
      </c>
      <c r="AC87" s="35"/>
    </row>
    <row r="88" spans="1:29" s="1" customFormat="1" ht="13.5" customHeight="1">
      <c r="A88" s="31" t="s">
        <v>137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153</v>
      </c>
      <c r="P88" s="32"/>
      <c r="Q88" s="32"/>
      <c r="R88" s="33" t="s">
        <v>138</v>
      </c>
      <c r="S88" s="33"/>
      <c r="T88" s="34">
        <f>0</f>
        <v>0</v>
      </c>
      <c r="U88" s="34"/>
      <c r="V88" s="34"/>
      <c r="W88" s="36" t="s">
        <v>45</v>
      </c>
      <c r="X88" s="36"/>
      <c r="Y88" s="36"/>
      <c r="Z88" s="36"/>
      <c r="AA88" s="36"/>
      <c r="AB88" s="37" t="s">
        <v>45</v>
      </c>
      <c r="AC88" s="37"/>
    </row>
    <row r="89" spans="1:29" s="1" customFormat="1" ht="13.5" customHeight="1">
      <c r="A89" s="31" t="s">
        <v>98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154</v>
      </c>
      <c r="P89" s="32"/>
      <c r="Q89" s="32"/>
      <c r="R89" s="33" t="s">
        <v>100</v>
      </c>
      <c r="S89" s="33"/>
      <c r="T89" s="34">
        <f>6720.43</f>
        <v>6720.43</v>
      </c>
      <c r="U89" s="34"/>
      <c r="V89" s="34"/>
      <c r="W89" s="34">
        <f>5075</f>
        <v>5075</v>
      </c>
      <c r="X89" s="34"/>
      <c r="Y89" s="34"/>
      <c r="Z89" s="34"/>
      <c r="AA89" s="34"/>
      <c r="AB89" s="35">
        <f>1645.43</f>
        <v>1645.43</v>
      </c>
      <c r="AC89" s="35"/>
    </row>
    <row r="90" spans="1:29" s="1" customFormat="1" ht="13.5" customHeight="1">
      <c r="A90" s="31" t="s">
        <v>101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155</v>
      </c>
      <c r="P90" s="32"/>
      <c r="Q90" s="32"/>
      <c r="R90" s="33" t="s">
        <v>103</v>
      </c>
      <c r="S90" s="33"/>
      <c r="T90" s="34">
        <f>2029.57</f>
        <v>2029.57</v>
      </c>
      <c r="U90" s="34"/>
      <c r="V90" s="34"/>
      <c r="W90" s="34">
        <f>1450</f>
        <v>1450</v>
      </c>
      <c r="X90" s="34"/>
      <c r="Y90" s="34"/>
      <c r="Z90" s="34"/>
      <c r="AA90" s="34"/>
      <c r="AB90" s="35">
        <f>579.57</f>
        <v>579.57</v>
      </c>
      <c r="AC90" s="35"/>
    </row>
    <row r="91" spans="1:29" s="1" customFormat="1" ht="13.5" customHeight="1">
      <c r="A91" s="31" t="s">
        <v>116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156</v>
      </c>
      <c r="P91" s="32"/>
      <c r="Q91" s="32"/>
      <c r="R91" s="33" t="s">
        <v>118</v>
      </c>
      <c r="S91" s="33"/>
      <c r="T91" s="34">
        <f>0</f>
        <v>0</v>
      </c>
      <c r="U91" s="34"/>
      <c r="V91" s="34"/>
      <c r="W91" s="36" t="s">
        <v>45</v>
      </c>
      <c r="X91" s="36"/>
      <c r="Y91" s="36"/>
      <c r="Z91" s="36"/>
      <c r="AA91" s="36"/>
      <c r="AB91" s="37" t="s">
        <v>45</v>
      </c>
      <c r="AC91" s="37"/>
    </row>
    <row r="92" spans="1:29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156</v>
      </c>
      <c r="P92" s="32"/>
      <c r="Q92" s="32"/>
      <c r="R92" s="33" t="s">
        <v>114</v>
      </c>
      <c r="S92" s="33"/>
      <c r="T92" s="34">
        <f>15000</f>
        <v>15000</v>
      </c>
      <c r="U92" s="34"/>
      <c r="V92" s="34"/>
      <c r="W92" s="36" t="s">
        <v>45</v>
      </c>
      <c r="X92" s="36"/>
      <c r="Y92" s="36"/>
      <c r="Z92" s="36"/>
      <c r="AA92" s="36"/>
      <c r="AB92" s="35">
        <f>15000</f>
        <v>15000</v>
      </c>
      <c r="AC92" s="35"/>
    </row>
    <row r="93" spans="1:29" s="1" customFormat="1" ht="13.5" customHeight="1">
      <c r="A93" s="31" t="s">
        <v>133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157</v>
      </c>
      <c r="P93" s="32"/>
      <c r="Q93" s="32"/>
      <c r="R93" s="33" t="s">
        <v>134</v>
      </c>
      <c r="S93" s="33"/>
      <c r="T93" s="34">
        <f>295000</f>
        <v>295000</v>
      </c>
      <c r="U93" s="34"/>
      <c r="V93" s="34"/>
      <c r="W93" s="34">
        <f>295000</f>
        <v>295000</v>
      </c>
      <c r="X93" s="34"/>
      <c r="Y93" s="34"/>
      <c r="Z93" s="34"/>
      <c r="AA93" s="34"/>
      <c r="AB93" s="35">
        <f>0</f>
        <v>0</v>
      </c>
      <c r="AC93" s="35"/>
    </row>
    <row r="94" spans="1:29" s="1" customFormat="1" ht="13.5" customHeight="1">
      <c r="A94" s="31" t="s">
        <v>122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157</v>
      </c>
      <c r="P94" s="32"/>
      <c r="Q94" s="32"/>
      <c r="R94" s="33" t="s">
        <v>124</v>
      </c>
      <c r="S94" s="33"/>
      <c r="T94" s="34">
        <f>18882</f>
        <v>18882</v>
      </c>
      <c r="U94" s="34"/>
      <c r="V94" s="34"/>
      <c r="W94" s="34">
        <f>18882</f>
        <v>18882</v>
      </c>
      <c r="X94" s="34"/>
      <c r="Y94" s="34"/>
      <c r="Z94" s="34"/>
      <c r="AA94" s="34"/>
      <c r="AB94" s="35">
        <f>0</f>
        <v>0</v>
      </c>
      <c r="AC94" s="35"/>
    </row>
    <row r="95" spans="1:29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157</v>
      </c>
      <c r="P95" s="32"/>
      <c r="Q95" s="32"/>
      <c r="R95" s="33" t="s">
        <v>114</v>
      </c>
      <c r="S95" s="33"/>
      <c r="T95" s="34">
        <f>10000</f>
        <v>10000</v>
      </c>
      <c r="U95" s="34"/>
      <c r="V95" s="34"/>
      <c r="W95" s="34">
        <f>5669.83</f>
        <v>5669.83</v>
      </c>
      <c r="X95" s="34"/>
      <c r="Y95" s="34"/>
      <c r="Z95" s="34"/>
      <c r="AA95" s="34"/>
      <c r="AB95" s="35">
        <f>4330.17</f>
        <v>4330.17</v>
      </c>
      <c r="AC95" s="35"/>
    </row>
    <row r="96" spans="1:29" s="1" customFormat="1" ht="13.5" customHeight="1">
      <c r="A96" s="31" t="s">
        <v>116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158</v>
      </c>
      <c r="P96" s="32"/>
      <c r="Q96" s="32"/>
      <c r="R96" s="33" t="s">
        <v>118</v>
      </c>
      <c r="S96" s="33"/>
      <c r="T96" s="34">
        <f>0</f>
        <v>0</v>
      </c>
      <c r="U96" s="34"/>
      <c r="V96" s="34"/>
      <c r="W96" s="36" t="s">
        <v>45</v>
      </c>
      <c r="X96" s="36"/>
      <c r="Y96" s="36"/>
      <c r="Z96" s="36"/>
      <c r="AA96" s="36"/>
      <c r="AB96" s="37" t="s">
        <v>45</v>
      </c>
      <c r="AC96" s="37"/>
    </row>
    <row r="97" spans="1:29" s="1" customFormat="1" ht="13.5" customHeight="1">
      <c r="A97" s="31" t="s">
        <v>112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158</v>
      </c>
      <c r="P97" s="32"/>
      <c r="Q97" s="32"/>
      <c r="R97" s="33" t="s">
        <v>114</v>
      </c>
      <c r="S97" s="33"/>
      <c r="T97" s="34">
        <f>13950</f>
        <v>13950</v>
      </c>
      <c r="U97" s="34"/>
      <c r="V97" s="34"/>
      <c r="W97" s="36" t="s">
        <v>45</v>
      </c>
      <c r="X97" s="36"/>
      <c r="Y97" s="36"/>
      <c r="Z97" s="36"/>
      <c r="AA97" s="36"/>
      <c r="AB97" s="35">
        <f>13950</f>
        <v>13950</v>
      </c>
      <c r="AC97" s="35"/>
    </row>
    <row r="98" spans="1:29" s="1" customFormat="1" ht="13.5" customHeight="1">
      <c r="A98" s="31" t="s">
        <v>116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159</v>
      </c>
      <c r="P98" s="32"/>
      <c r="Q98" s="32"/>
      <c r="R98" s="33" t="s">
        <v>118</v>
      </c>
      <c r="S98" s="33"/>
      <c r="T98" s="34">
        <f>0</f>
        <v>0</v>
      </c>
      <c r="U98" s="34"/>
      <c r="V98" s="34"/>
      <c r="W98" s="36" t="s">
        <v>45</v>
      </c>
      <c r="X98" s="36"/>
      <c r="Y98" s="36"/>
      <c r="Z98" s="36"/>
      <c r="AA98" s="36"/>
      <c r="AB98" s="37" t="s">
        <v>45</v>
      </c>
      <c r="AC98" s="37"/>
    </row>
    <row r="99" spans="1:29" s="1" customFormat="1" ht="13.5" customHeight="1">
      <c r="A99" s="31" t="s">
        <v>112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159</v>
      </c>
      <c r="P99" s="32"/>
      <c r="Q99" s="32"/>
      <c r="R99" s="33" t="s">
        <v>114</v>
      </c>
      <c r="S99" s="33"/>
      <c r="T99" s="34">
        <f>5980</f>
        <v>5980</v>
      </c>
      <c r="U99" s="34"/>
      <c r="V99" s="34"/>
      <c r="W99" s="36" t="s">
        <v>45</v>
      </c>
      <c r="X99" s="36"/>
      <c r="Y99" s="36"/>
      <c r="Z99" s="36"/>
      <c r="AA99" s="36"/>
      <c r="AB99" s="35">
        <f>5980</f>
        <v>5980</v>
      </c>
      <c r="AC99" s="35"/>
    </row>
    <row r="100" spans="1:29" s="1" customFormat="1" ht="13.5" customHeight="1">
      <c r="A100" s="31" t="s">
        <v>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160</v>
      </c>
      <c r="P100" s="32"/>
      <c r="Q100" s="32"/>
      <c r="R100" s="33" t="s">
        <v>100</v>
      </c>
      <c r="S100" s="33"/>
      <c r="T100" s="34">
        <f>293523.73</f>
        <v>293523.73</v>
      </c>
      <c r="U100" s="34"/>
      <c r="V100" s="34"/>
      <c r="W100" s="34">
        <f>163439.57</f>
        <v>163439.57</v>
      </c>
      <c r="X100" s="34"/>
      <c r="Y100" s="34"/>
      <c r="Z100" s="34"/>
      <c r="AA100" s="34"/>
      <c r="AB100" s="35">
        <f>130084.16</f>
        <v>130084.16</v>
      </c>
      <c r="AC100" s="35"/>
    </row>
    <row r="101" spans="1:29" s="1" customFormat="1" ht="13.5" customHeight="1">
      <c r="A101" s="31" t="s">
        <v>101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161</v>
      </c>
      <c r="P101" s="32"/>
      <c r="Q101" s="32"/>
      <c r="R101" s="33" t="s">
        <v>103</v>
      </c>
      <c r="S101" s="33"/>
      <c r="T101" s="34">
        <f>88644.13</f>
        <v>88644.13</v>
      </c>
      <c r="U101" s="34"/>
      <c r="V101" s="34"/>
      <c r="W101" s="34">
        <f>49328.39</f>
        <v>49328.39</v>
      </c>
      <c r="X101" s="34"/>
      <c r="Y101" s="34"/>
      <c r="Z101" s="34"/>
      <c r="AA101" s="34"/>
      <c r="AB101" s="35">
        <f>39315.74</f>
        <v>39315.74</v>
      </c>
      <c r="AC101" s="35"/>
    </row>
    <row r="102" spans="1:29" s="1" customFormat="1" ht="13.5" customHeight="1">
      <c r="A102" s="31" t="s">
        <v>98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162</v>
      </c>
      <c r="P102" s="32"/>
      <c r="Q102" s="32"/>
      <c r="R102" s="33" t="s">
        <v>100</v>
      </c>
      <c r="S102" s="33"/>
      <c r="T102" s="34">
        <f>443234.84</f>
        <v>443234.84</v>
      </c>
      <c r="U102" s="34"/>
      <c r="V102" s="34"/>
      <c r="W102" s="34">
        <f>319504.08</f>
        <v>319504.08</v>
      </c>
      <c r="X102" s="34"/>
      <c r="Y102" s="34"/>
      <c r="Z102" s="34"/>
      <c r="AA102" s="34"/>
      <c r="AB102" s="35">
        <f>123730.76</f>
        <v>123730.76</v>
      </c>
      <c r="AC102" s="35"/>
    </row>
    <row r="103" spans="1:29" s="1" customFormat="1" ht="13.5" customHeight="1">
      <c r="A103" s="31" t="s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163</v>
      </c>
      <c r="P103" s="32"/>
      <c r="Q103" s="32"/>
      <c r="R103" s="33" t="s">
        <v>103</v>
      </c>
      <c r="S103" s="33"/>
      <c r="T103" s="34">
        <f>133856.92</f>
        <v>133856.92</v>
      </c>
      <c r="U103" s="34"/>
      <c r="V103" s="34"/>
      <c r="W103" s="34">
        <f>96010.44</f>
        <v>96010.44</v>
      </c>
      <c r="X103" s="34"/>
      <c r="Y103" s="34"/>
      <c r="Z103" s="34"/>
      <c r="AA103" s="34"/>
      <c r="AB103" s="35">
        <f>37846.48</f>
        <v>37846.48</v>
      </c>
      <c r="AC103" s="35"/>
    </row>
    <row r="104" spans="1:29" s="1" customFormat="1" ht="13.5" customHeight="1">
      <c r="A104" s="31" t="s">
        <v>129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164</v>
      </c>
      <c r="P104" s="32"/>
      <c r="Q104" s="32"/>
      <c r="R104" s="33" t="s">
        <v>130</v>
      </c>
      <c r="S104" s="33"/>
      <c r="T104" s="34">
        <f>0</f>
        <v>0</v>
      </c>
      <c r="U104" s="34"/>
      <c r="V104" s="34"/>
      <c r="W104" s="34">
        <f>0</f>
        <v>0</v>
      </c>
      <c r="X104" s="34"/>
      <c r="Y104" s="34"/>
      <c r="Z104" s="34"/>
      <c r="AA104" s="34"/>
      <c r="AB104" s="37" t="s">
        <v>45</v>
      </c>
      <c r="AC104" s="37"/>
    </row>
    <row r="105" spans="1:29" s="1" customFormat="1" ht="13.5" customHeight="1">
      <c r="A105" s="31" t="s">
        <v>133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164</v>
      </c>
      <c r="P105" s="32"/>
      <c r="Q105" s="32"/>
      <c r="R105" s="33" t="s">
        <v>134</v>
      </c>
      <c r="S105" s="33"/>
      <c r="T105" s="34">
        <f>0</f>
        <v>0</v>
      </c>
      <c r="U105" s="34"/>
      <c r="V105" s="34"/>
      <c r="W105" s="34">
        <f>0</f>
        <v>0</v>
      </c>
      <c r="X105" s="34"/>
      <c r="Y105" s="34"/>
      <c r="Z105" s="34"/>
      <c r="AA105" s="34"/>
      <c r="AB105" s="37" t="s">
        <v>45</v>
      </c>
      <c r="AC105" s="37"/>
    </row>
    <row r="106" spans="1:29" s="1" customFormat="1" ht="13.5" customHeight="1">
      <c r="A106" s="31" t="s">
        <v>122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164</v>
      </c>
      <c r="P106" s="32"/>
      <c r="Q106" s="32"/>
      <c r="R106" s="33" t="s">
        <v>124</v>
      </c>
      <c r="S106" s="33"/>
      <c r="T106" s="34">
        <f>0</f>
        <v>0</v>
      </c>
      <c r="U106" s="34"/>
      <c r="V106" s="34"/>
      <c r="W106" s="36" t="s">
        <v>45</v>
      </c>
      <c r="X106" s="36"/>
      <c r="Y106" s="36"/>
      <c r="Z106" s="36"/>
      <c r="AA106" s="36"/>
      <c r="AB106" s="37" t="s">
        <v>45</v>
      </c>
      <c r="AC106" s="37"/>
    </row>
    <row r="107" spans="1:29" s="1" customFormat="1" ht="13.5" customHeight="1">
      <c r="A107" s="31" t="s">
        <v>137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164</v>
      </c>
      <c r="P107" s="32"/>
      <c r="Q107" s="32"/>
      <c r="R107" s="33" t="s">
        <v>138</v>
      </c>
      <c r="S107" s="33"/>
      <c r="T107" s="34">
        <f>0</f>
        <v>0</v>
      </c>
      <c r="U107" s="34"/>
      <c r="V107" s="34"/>
      <c r="W107" s="34">
        <f>0</f>
        <v>0</v>
      </c>
      <c r="X107" s="34"/>
      <c r="Y107" s="34"/>
      <c r="Z107" s="34"/>
      <c r="AA107" s="34"/>
      <c r="AB107" s="37" t="s">
        <v>45</v>
      </c>
      <c r="AC107" s="37"/>
    </row>
    <row r="108" spans="1:29" s="1" customFormat="1" ht="13.5" customHeight="1">
      <c r="A108" s="31" t="s">
        <v>133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165</v>
      </c>
      <c r="P108" s="32"/>
      <c r="Q108" s="32"/>
      <c r="R108" s="33" t="s">
        <v>134</v>
      </c>
      <c r="S108" s="33"/>
      <c r="T108" s="34">
        <f>2261279.89</f>
        <v>2261279.89</v>
      </c>
      <c r="U108" s="34"/>
      <c r="V108" s="34"/>
      <c r="W108" s="34">
        <f>1333150.2</f>
        <v>1333150.2</v>
      </c>
      <c r="X108" s="34"/>
      <c r="Y108" s="34"/>
      <c r="Z108" s="34"/>
      <c r="AA108" s="34"/>
      <c r="AB108" s="35">
        <f>928129.69</f>
        <v>928129.69</v>
      </c>
      <c r="AC108" s="35"/>
    </row>
    <row r="109" spans="1:29" s="1" customFormat="1" ht="13.5" customHeight="1">
      <c r="A109" s="31" t="s">
        <v>133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166</v>
      </c>
      <c r="P109" s="32"/>
      <c r="Q109" s="32"/>
      <c r="R109" s="33" t="s">
        <v>134</v>
      </c>
      <c r="S109" s="33"/>
      <c r="T109" s="34">
        <f>700000</f>
        <v>700000</v>
      </c>
      <c r="U109" s="34"/>
      <c r="V109" s="34"/>
      <c r="W109" s="34">
        <f>483197</f>
        <v>483197</v>
      </c>
      <c r="X109" s="34"/>
      <c r="Y109" s="34"/>
      <c r="Z109" s="34"/>
      <c r="AA109" s="34"/>
      <c r="AB109" s="35">
        <f>216803</f>
        <v>216803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166</v>
      </c>
      <c r="P110" s="32"/>
      <c r="Q110" s="32"/>
      <c r="R110" s="33" t="s">
        <v>138</v>
      </c>
      <c r="S110" s="33"/>
      <c r="T110" s="34">
        <f>67620</f>
        <v>67620</v>
      </c>
      <c r="U110" s="34"/>
      <c r="V110" s="34"/>
      <c r="W110" s="34">
        <f>67620</f>
        <v>67620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129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167</v>
      </c>
      <c r="P111" s="32"/>
      <c r="Q111" s="32"/>
      <c r="R111" s="33" t="s">
        <v>130</v>
      </c>
      <c r="S111" s="33"/>
      <c r="T111" s="34">
        <f>12637.85</f>
        <v>12637.85</v>
      </c>
      <c r="U111" s="34"/>
      <c r="V111" s="34"/>
      <c r="W111" s="34">
        <f>12637.85</f>
        <v>12637.85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13.5" customHeight="1">
      <c r="A112" s="31" t="s">
        <v>137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167</v>
      </c>
      <c r="P112" s="32"/>
      <c r="Q112" s="32"/>
      <c r="R112" s="33" t="s">
        <v>138</v>
      </c>
      <c r="S112" s="33"/>
      <c r="T112" s="34">
        <f>473200</f>
        <v>473200</v>
      </c>
      <c r="U112" s="34"/>
      <c r="V112" s="34"/>
      <c r="W112" s="34">
        <f>13200</f>
        <v>13200</v>
      </c>
      <c r="X112" s="34"/>
      <c r="Y112" s="34"/>
      <c r="Z112" s="34"/>
      <c r="AA112" s="34"/>
      <c r="AB112" s="35">
        <f>460000</f>
        <v>460000</v>
      </c>
      <c r="AC112" s="35"/>
    </row>
    <row r="113" spans="1:29" s="1" customFormat="1" ht="13.5" customHeight="1">
      <c r="A113" s="31" t="s">
        <v>109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168</v>
      </c>
      <c r="P113" s="32"/>
      <c r="Q113" s="32"/>
      <c r="R113" s="33" t="s">
        <v>111</v>
      </c>
      <c r="S113" s="33"/>
      <c r="T113" s="34">
        <f>8268000</f>
        <v>8268000</v>
      </c>
      <c r="U113" s="34"/>
      <c r="V113" s="34"/>
      <c r="W113" s="36" t="s">
        <v>45</v>
      </c>
      <c r="X113" s="36"/>
      <c r="Y113" s="36"/>
      <c r="Z113" s="36"/>
      <c r="AA113" s="36"/>
      <c r="AB113" s="35">
        <f>8268000</f>
        <v>8268000</v>
      </c>
      <c r="AC113" s="35"/>
    </row>
    <row r="114" spans="1:29" s="1" customFormat="1" ht="13.5" customHeight="1">
      <c r="A114" s="31" t="s">
        <v>109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169</v>
      </c>
      <c r="P114" s="32"/>
      <c r="Q114" s="32"/>
      <c r="R114" s="33" t="s">
        <v>111</v>
      </c>
      <c r="S114" s="33"/>
      <c r="T114" s="34">
        <f>2584512.12</f>
        <v>2584512.12</v>
      </c>
      <c r="U114" s="34"/>
      <c r="V114" s="34"/>
      <c r="W114" s="34">
        <f>2584512.12</f>
        <v>2584512.12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109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170</v>
      </c>
      <c r="P115" s="32"/>
      <c r="Q115" s="32"/>
      <c r="R115" s="33" t="s">
        <v>111</v>
      </c>
      <c r="S115" s="33"/>
      <c r="T115" s="34">
        <f>435157.9</f>
        <v>435157.9</v>
      </c>
      <c r="U115" s="34"/>
      <c r="V115" s="34"/>
      <c r="W115" s="34">
        <f>435157.9</f>
        <v>435157.9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109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171</v>
      </c>
      <c r="P116" s="32"/>
      <c r="Q116" s="32"/>
      <c r="R116" s="33" t="s">
        <v>111</v>
      </c>
      <c r="S116" s="33"/>
      <c r="T116" s="34">
        <f>1908470.26</f>
        <v>1908470.26</v>
      </c>
      <c r="U116" s="34"/>
      <c r="V116" s="34"/>
      <c r="W116" s="34">
        <f>1908470.26</f>
        <v>1908470.26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172</v>
      </c>
      <c r="P117" s="32"/>
      <c r="Q117" s="32"/>
      <c r="R117" s="33" t="s">
        <v>124</v>
      </c>
      <c r="S117" s="33"/>
      <c r="T117" s="34">
        <f>400000</f>
        <v>400000</v>
      </c>
      <c r="U117" s="34"/>
      <c r="V117" s="34"/>
      <c r="W117" s="34">
        <f>337815.4</f>
        <v>337815.4</v>
      </c>
      <c r="X117" s="34"/>
      <c r="Y117" s="34"/>
      <c r="Z117" s="34"/>
      <c r="AA117" s="34"/>
      <c r="AB117" s="35">
        <f>62184.6</f>
        <v>62184.6</v>
      </c>
      <c r="AC117" s="35"/>
    </row>
    <row r="118" spans="1:29" s="1" customFormat="1" ht="13.5" customHeight="1">
      <c r="A118" s="31" t="s">
        <v>126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173</v>
      </c>
      <c r="P118" s="32"/>
      <c r="Q118" s="32"/>
      <c r="R118" s="33" t="s">
        <v>128</v>
      </c>
      <c r="S118" s="33"/>
      <c r="T118" s="34">
        <f>137881.87</f>
        <v>137881.87</v>
      </c>
      <c r="U118" s="34"/>
      <c r="V118" s="34"/>
      <c r="W118" s="34">
        <f>73631.66</f>
        <v>73631.66</v>
      </c>
      <c r="X118" s="34"/>
      <c r="Y118" s="34"/>
      <c r="Z118" s="34"/>
      <c r="AA118" s="34"/>
      <c r="AB118" s="35">
        <f>64250.21</f>
        <v>64250.21</v>
      </c>
      <c r="AC118" s="35"/>
    </row>
    <row r="119" spans="1:29" s="1" customFormat="1" ht="13.5" customHeight="1">
      <c r="A119" s="31" t="s">
        <v>133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173</v>
      </c>
      <c r="P119" s="32"/>
      <c r="Q119" s="32"/>
      <c r="R119" s="33" t="s">
        <v>134</v>
      </c>
      <c r="S119" s="33"/>
      <c r="T119" s="34">
        <f>65000</f>
        <v>65000</v>
      </c>
      <c r="U119" s="34"/>
      <c r="V119" s="34"/>
      <c r="W119" s="34">
        <f>31749.89</f>
        <v>31749.89</v>
      </c>
      <c r="X119" s="34"/>
      <c r="Y119" s="34"/>
      <c r="Z119" s="34"/>
      <c r="AA119" s="34"/>
      <c r="AB119" s="35">
        <f>33250.11</f>
        <v>33250.11</v>
      </c>
      <c r="AC119" s="35"/>
    </row>
    <row r="120" spans="1:29" s="1" customFormat="1" ht="13.5" customHeight="1">
      <c r="A120" s="31" t="s">
        <v>137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173</v>
      </c>
      <c r="P120" s="32"/>
      <c r="Q120" s="32"/>
      <c r="R120" s="33" t="s">
        <v>138</v>
      </c>
      <c r="S120" s="33"/>
      <c r="T120" s="34">
        <f>30000</f>
        <v>30000</v>
      </c>
      <c r="U120" s="34"/>
      <c r="V120" s="34"/>
      <c r="W120" s="34">
        <f>2050</f>
        <v>2050</v>
      </c>
      <c r="X120" s="34"/>
      <c r="Y120" s="34"/>
      <c r="Z120" s="34"/>
      <c r="AA120" s="34"/>
      <c r="AB120" s="35">
        <f>27950</f>
        <v>27950</v>
      </c>
      <c r="AC120" s="35"/>
    </row>
    <row r="121" spans="1:29" s="1" customFormat="1" ht="13.5" customHeight="1">
      <c r="A121" s="31" t="s">
        <v>133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174</v>
      </c>
      <c r="P121" s="32"/>
      <c r="Q121" s="32"/>
      <c r="R121" s="33" t="s">
        <v>134</v>
      </c>
      <c r="S121" s="33"/>
      <c r="T121" s="34">
        <f>240959.95</f>
        <v>240959.95</v>
      </c>
      <c r="U121" s="34"/>
      <c r="V121" s="34"/>
      <c r="W121" s="36" t="s">
        <v>45</v>
      </c>
      <c r="X121" s="36"/>
      <c r="Y121" s="36"/>
      <c r="Z121" s="36"/>
      <c r="AA121" s="36"/>
      <c r="AB121" s="35">
        <f>240959.95</f>
        <v>240959.95</v>
      </c>
      <c r="AC121" s="35"/>
    </row>
    <row r="122" spans="1:29" s="1" customFormat="1" ht="13.5" customHeight="1">
      <c r="A122" s="31" t="s">
        <v>133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175</v>
      </c>
      <c r="P122" s="32"/>
      <c r="Q122" s="32"/>
      <c r="R122" s="33" t="s">
        <v>134</v>
      </c>
      <c r="S122" s="33"/>
      <c r="T122" s="34">
        <f>108018</f>
        <v>108018</v>
      </c>
      <c r="U122" s="34"/>
      <c r="V122" s="34"/>
      <c r="W122" s="34">
        <f>108018</f>
        <v>108018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13.5" customHeight="1">
      <c r="A123" s="31" t="s">
        <v>137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176</v>
      </c>
      <c r="P123" s="32"/>
      <c r="Q123" s="32"/>
      <c r="R123" s="33" t="s">
        <v>138</v>
      </c>
      <c r="S123" s="33"/>
      <c r="T123" s="34">
        <f>50230</f>
        <v>50230</v>
      </c>
      <c r="U123" s="34"/>
      <c r="V123" s="34"/>
      <c r="W123" s="34">
        <f>50230</f>
        <v>50230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122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177</v>
      </c>
      <c r="P124" s="32"/>
      <c r="Q124" s="32"/>
      <c r="R124" s="33" t="s">
        <v>124</v>
      </c>
      <c r="S124" s="33"/>
      <c r="T124" s="34">
        <f>50000</f>
        <v>50000</v>
      </c>
      <c r="U124" s="34"/>
      <c r="V124" s="34"/>
      <c r="W124" s="34">
        <f>3161.59</f>
        <v>3161.59</v>
      </c>
      <c r="X124" s="34"/>
      <c r="Y124" s="34"/>
      <c r="Z124" s="34"/>
      <c r="AA124" s="34"/>
      <c r="AB124" s="35">
        <f>46838.41</f>
        <v>46838.41</v>
      </c>
      <c r="AC124" s="35"/>
    </row>
    <row r="125" spans="1:29" s="1" customFormat="1" ht="13.5" customHeight="1">
      <c r="A125" s="31" t="s">
        <v>137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177</v>
      </c>
      <c r="P125" s="32"/>
      <c r="Q125" s="32"/>
      <c r="R125" s="33" t="s">
        <v>138</v>
      </c>
      <c r="S125" s="33"/>
      <c r="T125" s="34">
        <f>0</f>
        <v>0</v>
      </c>
      <c r="U125" s="34"/>
      <c r="V125" s="34"/>
      <c r="W125" s="36" t="s">
        <v>45</v>
      </c>
      <c r="X125" s="36"/>
      <c r="Y125" s="36"/>
      <c r="Z125" s="36"/>
      <c r="AA125" s="36"/>
      <c r="AB125" s="37" t="s">
        <v>45</v>
      </c>
      <c r="AC125" s="37"/>
    </row>
    <row r="126" spans="1:29" s="1" customFormat="1" ht="13.5" customHeight="1">
      <c r="A126" s="31" t="s">
        <v>131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178</v>
      </c>
      <c r="P126" s="32"/>
      <c r="Q126" s="32"/>
      <c r="R126" s="33" t="s">
        <v>132</v>
      </c>
      <c r="S126" s="33"/>
      <c r="T126" s="34">
        <f>2000</f>
        <v>2000</v>
      </c>
      <c r="U126" s="34"/>
      <c r="V126" s="34"/>
      <c r="W126" s="34">
        <f>530.64</f>
        <v>530.64</v>
      </c>
      <c r="X126" s="34"/>
      <c r="Y126" s="34"/>
      <c r="Z126" s="34"/>
      <c r="AA126" s="34"/>
      <c r="AB126" s="35">
        <f>1469.36</f>
        <v>1469.36</v>
      </c>
      <c r="AC126" s="35"/>
    </row>
    <row r="127" spans="1:29" s="1" customFormat="1" ht="13.5" customHeight="1">
      <c r="A127" s="31" t="s">
        <v>133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178</v>
      </c>
      <c r="P127" s="32"/>
      <c r="Q127" s="32"/>
      <c r="R127" s="33" t="s">
        <v>134</v>
      </c>
      <c r="S127" s="33"/>
      <c r="T127" s="34">
        <f>137285</f>
        <v>137285</v>
      </c>
      <c r="U127" s="34"/>
      <c r="V127" s="34"/>
      <c r="W127" s="34">
        <f>133138.25</f>
        <v>133138.25</v>
      </c>
      <c r="X127" s="34"/>
      <c r="Y127" s="34"/>
      <c r="Z127" s="34"/>
      <c r="AA127" s="34"/>
      <c r="AB127" s="35">
        <f>4146.75</f>
        <v>4146.75</v>
      </c>
      <c r="AC127" s="35"/>
    </row>
    <row r="128" spans="1:29" s="1" customFormat="1" ht="13.5" customHeight="1">
      <c r="A128" s="31" t="s">
        <v>137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178</v>
      </c>
      <c r="P128" s="32"/>
      <c r="Q128" s="32"/>
      <c r="R128" s="33" t="s">
        <v>138</v>
      </c>
      <c r="S128" s="33"/>
      <c r="T128" s="34">
        <f>15000</f>
        <v>15000</v>
      </c>
      <c r="U128" s="34"/>
      <c r="V128" s="34"/>
      <c r="W128" s="34">
        <f>12820</f>
        <v>12820</v>
      </c>
      <c r="X128" s="34"/>
      <c r="Y128" s="34"/>
      <c r="Z128" s="34"/>
      <c r="AA128" s="34"/>
      <c r="AB128" s="35">
        <f>2180</f>
        <v>2180</v>
      </c>
      <c r="AC128" s="35"/>
    </row>
    <row r="129" spans="1:29" s="1" customFormat="1" ht="13.5" customHeight="1">
      <c r="A129" s="31" t="s">
        <v>133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179</v>
      </c>
      <c r="P129" s="32"/>
      <c r="Q129" s="32"/>
      <c r="R129" s="33" t="s">
        <v>134</v>
      </c>
      <c r="S129" s="33"/>
      <c r="T129" s="34">
        <f>120000</f>
        <v>120000</v>
      </c>
      <c r="U129" s="34"/>
      <c r="V129" s="34"/>
      <c r="W129" s="34">
        <f>65966.39</f>
        <v>65966.39</v>
      </c>
      <c r="X129" s="34"/>
      <c r="Y129" s="34"/>
      <c r="Z129" s="34"/>
      <c r="AA129" s="34"/>
      <c r="AB129" s="35">
        <f>54033.61</f>
        <v>54033.61</v>
      </c>
      <c r="AC129" s="35"/>
    </row>
    <row r="130" spans="1:29" s="1" customFormat="1" ht="24" customHeight="1">
      <c r="A130" s="31" t="s">
        <v>180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181</v>
      </c>
      <c r="P130" s="32"/>
      <c r="Q130" s="32"/>
      <c r="R130" s="33" t="s">
        <v>182</v>
      </c>
      <c r="S130" s="33"/>
      <c r="T130" s="34">
        <f>50000</f>
        <v>50000</v>
      </c>
      <c r="U130" s="34"/>
      <c r="V130" s="34"/>
      <c r="W130" s="34">
        <f>50000</f>
        <v>50000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24" customHeight="1">
      <c r="A131" s="31" t="s">
        <v>180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183</v>
      </c>
      <c r="P131" s="32"/>
      <c r="Q131" s="32"/>
      <c r="R131" s="33" t="s">
        <v>182</v>
      </c>
      <c r="S131" s="33"/>
      <c r="T131" s="34">
        <f>0</f>
        <v>0</v>
      </c>
      <c r="U131" s="34"/>
      <c r="V131" s="34"/>
      <c r="W131" s="36" t="s">
        <v>45</v>
      </c>
      <c r="X131" s="36"/>
      <c r="Y131" s="36"/>
      <c r="Z131" s="36"/>
      <c r="AA131" s="36"/>
      <c r="AB131" s="37" t="s">
        <v>45</v>
      </c>
      <c r="AC131" s="37"/>
    </row>
    <row r="132" spans="1:29" s="1" customFormat="1" ht="13.5" customHeight="1">
      <c r="A132" s="31" t="s">
        <v>109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184</v>
      </c>
      <c r="P132" s="32"/>
      <c r="Q132" s="32"/>
      <c r="R132" s="33" t="s">
        <v>111</v>
      </c>
      <c r="S132" s="33"/>
      <c r="T132" s="34">
        <f>0</f>
        <v>0</v>
      </c>
      <c r="U132" s="34"/>
      <c r="V132" s="34"/>
      <c r="W132" s="36" t="s">
        <v>45</v>
      </c>
      <c r="X132" s="36"/>
      <c r="Y132" s="36"/>
      <c r="Z132" s="36"/>
      <c r="AA132" s="36"/>
      <c r="AB132" s="37" t="s">
        <v>45</v>
      </c>
      <c r="AC132" s="37"/>
    </row>
    <row r="133" spans="1:29" s="1" customFormat="1" ht="13.5" customHeight="1">
      <c r="A133" s="31" t="s">
        <v>109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185</v>
      </c>
      <c r="P133" s="32"/>
      <c r="Q133" s="32"/>
      <c r="R133" s="33" t="s">
        <v>111</v>
      </c>
      <c r="S133" s="33"/>
      <c r="T133" s="34">
        <f>12683142</f>
        <v>12683142</v>
      </c>
      <c r="U133" s="34"/>
      <c r="V133" s="34"/>
      <c r="W133" s="36" t="s">
        <v>45</v>
      </c>
      <c r="X133" s="36"/>
      <c r="Y133" s="36"/>
      <c r="Z133" s="36"/>
      <c r="AA133" s="36"/>
      <c r="AB133" s="35">
        <f>12683142</f>
        <v>12683142</v>
      </c>
      <c r="AC133" s="35"/>
    </row>
    <row r="134" spans="1:29" s="1" customFormat="1" ht="13.5" customHeight="1">
      <c r="A134" s="31" t="s">
        <v>109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186</v>
      </c>
      <c r="P134" s="32"/>
      <c r="Q134" s="32"/>
      <c r="R134" s="33" t="s">
        <v>111</v>
      </c>
      <c r="S134" s="33"/>
      <c r="T134" s="34">
        <f>0</f>
        <v>0</v>
      </c>
      <c r="U134" s="34"/>
      <c r="V134" s="34"/>
      <c r="W134" s="36" t="s">
        <v>45</v>
      </c>
      <c r="X134" s="36"/>
      <c r="Y134" s="36"/>
      <c r="Z134" s="36"/>
      <c r="AA134" s="36"/>
      <c r="AB134" s="37" t="s">
        <v>45</v>
      </c>
      <c r="AC134" s="37"/>
    </row>
    <row r="135" spans="1:29" s="1" customFormat="1" ht="13.5" customHeight="1">
      <c r="A135" s="31" t="s">
        <v>109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187</v>
      </c>
      <c r="P135" s="32"/>
      <c r="Q135" s="32"/>
      <c r="R135" s="33" t="s">
        <v>111</v>
      </c>
      <c r="S135" s="33"/>
      <c r="T135" s="34">
        <f>1409238</f>
        <v>1409238</v>
      </c>
      <c r="U135" s="34"/>
      <c r="V135" s="34"/>
      <c r="W135" s="36" t="s">
        <v>45</v>
      </c>
      <c r="X135" s="36"/>
      <c r="Y135" s="36"/>
      <c r="Z135" s="36"/>
      <c r="AA135" s="36"/>
      <c r="AB135" s="35">
        <f>1409238</f>
        <v>1409238</v>
      </c>
      <c r="AC135" s="35"/>
    </row>
    <row r="136" spans="1:29" s="1" customFormat="1" ht="13.5" customHeight="1">
      <c r="A136" s="31" t="s">
        <v>131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188</v>
      </c>
      <c r="P136" s="32"/>
      <c r="Q136" s="32"/>
      <c r="R136" s="33" t="s">
        <v>132</v>
      </c>
      <c r="S136" s="33"/>
      <c r="T136" s="34">
        <f>1331046.03</f>
        <v>1331046.03</v>
      </c>
      <c r="U136" s="34"/>
      <c r="V136" s="34"/>
      <c r="W136" s="34">
        <f>1268713.17</f>
        <v>1268713.17</v>
      </c>
      <c r="X136" s="34"/>
      <c r="Y136" s="34"/>
      <c r="Z136" s="34"/>
      <c r="AA136" s="34"/>
      <c r="AB136" s="35">
        <f>62332.86</f>
        <v>62332.86</v>
      </c>
      <c r="AC136" s="35"/>
    </row>
    <row r="137" spans="1:29" s="1" customFormat="1" ht="13.5" customHeight="1">
      <c r="A137" s="31" t="s">
        <v>133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189</v>
      </c>
      <c r="P137" s="32"/>
      <c r="Q137" s="32"/>
      <c r="R137" s="33" t="s">
        <v>134</v>
      </c>
      <c r="S137" s="33"/>
      <c r="T137" s="34">
        <f>0</f>
        <v>0</v>
      </c>
      <c r="U137" s="34"/>
      <c r="V137" s="34"/>
      <c r="W137" s="36" t="s">
        <v>45</v>
      </c>
      <c r="X137" s="36"/>
      <c r="Y137" s="36"/>
      <c r="Z137" s="36"/>
      <c r="AA137" s="36"/>
      <c r="AB137" s="37" t="s">
        <v>45</v>
      </c>
      <c r="AC137" s="37"/>
    </row>
    <row r="138" spans="1:29" s="1" customFormat="1" ht="13.5" customHeight="1">
      <c r="A138" s="31" t="s">
        <v>137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190</v>
      </c>
      <c r="P138" s="32"/>
      <c r="Q138" s="32"/>
      <c r="R138" s="33" t="s">
        <v>138</v>
      </c>
      <c r="S138" s="33"/>
      <c r="T138" s="34">
        <f>29999.2</f>
        <v>29999.2</v>
      </c>
      <c r="U138" s="34"/>
      <c r="V138" s="34"/>
      <c r="W138" s="34">
        <f>29999.2</f>
        <v>29999.2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133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191</v>
      </c>
      <c r="P139" s="32"/>
      <c r="Q139" s="32"/>
      <c r="R139" s="33" t="s">
        <v>134</v>
      </c>
      <c r="S139" s="33"/>
      <c r="T139" s="34">
        <f>184336.75</f>
        <v>184336.75</v>
      </c>
      <c r="U139" s="34"/>
      <c r="V139" s="34"/>
      <c r="W139" s="34">
        <f>119604.7</f>
        <v>119604.7</v>
      </c>
      <c r="X139" s="34"/>
      <c r="Y139" s="34"/>
      <c r="Z139" s="34"/>
      <c r="AA139" s="34"/>
      <c r="AB139" s="35">
        <f>64732.05</f>
        <v>64732.05</v>
      </c>
      <c r="AC139" s="35"/>
    </row>
    <row r="140" spans="1:29" s="1" customFormat="1" ht="13.5" customHeight="1">
      <c r="A140" s="31" t="s">
        <v>133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192</v>
      </c>
      <c r="P140" s="32"/>
      <c r="Q140" s="32"/>
      <c r="R140" s="33" t="s">
        <v>134</v>
      </c>
      <c r="S140" s="33"/>
      <c r="T140" s="34">
        <f>0</f>
        <v>0</v>
      </c>
      <c r="U140" s="34"/>
      <c r="V140" s="34"/>
      <c r="W140" s="36" t="s">
        <v>45</v>
      </c>
      <c r="X140" s="36"/>
      <c r="Y140" s="36"/>
      <c r="Z140" s="36"/>
      <c r="AA140" s="36"/>
      <c r="AB140" s="37" t="s">
        <v>45</v>
      </c>
      <c r="AC140" s="37"/>
    </row>
    <row r="141" spans="1:29" s="1" customFormat="1" ht="13.5" customHeight="1">
      <c r="A141" s="31" t="s">
        <v>137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192</v>
      </c>
      <c r="P141" s="32"/>
      <c r="Q141" s="32"/>
      <c r="R141" s="33" t="s">
        <v>138</v>
      </c>
      <c r="S141" s="33"/>
      <c r="T141" s="34">
        <f>28925</f>
        <v>28925</v>
      </c>
      <c r="U141" s="34"/>
      <c r="V141" s="34"/>
      <c r="W141" s="34">
        <f>28925</f>
        <v>28925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5" customHeight="1">
      <c r="A142" s="31" t="s">
        <v>133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193</v>
      </c>
      <c r="P142" s="32"/>
      <c r="Q142" s="32"/>
      <c r="R142" s="33" t="s">
        <v>134</v>
      </c>
      <c r="S142" s="33"/>
      <c r="T142" s="34">
        <f>0</f>
        <v>0</v>
      </c>
      <c r="U142" s="34"/>
      <c r="V142" s="34"/>
      <c r="W142" s="36" t="s">
        <v>45</v>
      </c>
      <c r="X142" s="36"/>
      <c r="Y142" s="36"/>
      <c r="Z142" s="36"/>
      <c r="AA142" s="36"/>
      <c r="AB142" s="37" t="s">
        <v>45</v>
      </c>
      <c r="AC142" s="37"/>
    </row>
    <row r="143" spans="1:29" s="1" customFormat="1" ht="13.5" customHeight="1">
      <c r="A143" s="31" t="s">
        <v>129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194</v>
      </c>
      <c r="P143" s="32"/>
      <c r="Q143" s="32"/>
      <c r="R143" s="33" t="s">
        <v>130</v>
      </c>
      <c r="S143" s="33"/>
      <c r="T143" s="34">
        <f>99000</f>
        <v>99000</v>
      </c>
      <c r="U143" s="34"/>
      <c r="V143" s="34"/>
      <c r="W143" s="34">
        <f>60000</f>
        <v>60000</v>
      </c>
      <c r="X143" s="34"/>
      <c r="Y143" s="34"/>
      <c r="Z143" s="34"/>
      <c r="AA143" s="34"/>
      <c r="AB143" s="35">
        <f>39000</f>
        <v>39000</v>
      </c>
      <c r="AC143" s="35"/>
    </row>
    <row r="144" spans="1:29" s="1" customFormat="1" ht="13.5" customHeight="1">
      <c r="A144" s="31" t="s">
        <v>133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194</v>
      </c>
      <c r="P144" s="32"/>
      <c r="Q144" s="32"/>
      <c r="R144" s="33" t="s">
        <v>134</v>
      </c>
      <c r="S144" s="33"/>
      <c r="T144" s="34">
        <f>499873.78</f>
        <v>499873.78</v>
      </c>
      <c r="U144" s="34"/>
      <c r="V144" s="34"/>
      <c r="W144" s="34">
        <f>131802</f>
        <v>131802</v>
      </c>
      <c r="X144" s="34"/>
      <c r="Y144" s="34"/>
      <c r="Z144" s="34"/>
      <c r="AA144" s="34"/>
      <c r="AB144" s="35">
        <f>368071.78</f>
        <v>368071.78</v>
      </c>
      <c r="AC144" s="35"/>
    </row>
    <row r="145" spans="1:29" s="1" customFormat="1" ht="13.5" customHeight="1">
      <c r="A145" s="31" t="s">
        <v>137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194</v>
      </c>
      <c r="P145" s="32"/>
      <c r="Q145" s="32"/>
      <c r="R145" s="33" t="s">
        <v>138</v>
      </c>
      <c r="S145" s="33"/>
      <c r="T145" s="34">
        <f>70000</f>
        <v>70000</v>
      </c>
      <c r="U145" s="34"/>
      <c r="V145" s="34"/>
      <c r="W145" s="34">
        <f>19883</f>
        <v>19883</v>
      </c>
      <c r="X145" s="34"/>
      <c r="Y145" s="34"/>
      <c r="Z145" s="34"/>
      <c r="AA145" s="34"/>
      <c r="AB145" s="35">
        <f>50117</f>
        <v>50117</v>
      </c>
      <c r="AC145" s="35"/>
    </row>
    <row r="146" spans="1:29" s="1" customFormat="1" ht="13.5" customHeight="1">
      <c r="A146" s="31" t="s">
        <v>109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195</v>
      </c>
      <c r="P146" s="32"/>
      <c r="Q146" s="32"/>
      <c r="R146" s="33" t="s">
        <v>111</v>
      </c>
      <c r="S146" s="33"/>
      <c r="T146" s="34">
        <f>2348000</f>
        <v>2348000</v>
      </c>
      <c r="U146" s="34"/>
      <c r="V146" s="34"/>
      <c r="W146" s="36" t="s">
        <v>45</v>
      </c>
      <c r="X146" s="36"/>
      <c r="Y146" s="36"/>
      <c r="Z146" s="36"/>
      <c r="AA146" s="36"/>
      <c r="AB146" s="35">
        <f>2348000</f>
        <v>2348000</v>
      </c>
      <c r="AC146" s="35"/>
    </row>
    <row r="147" spans="1:29" s="1" customFormat="1" ht="13.5" customHeight="1">
      <c r="A147" s="31" t="s">
        <v>109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196</v>
      </c>
      <c r="P147" s="32"/>
      <c r="Q147" s="32"/>
      <c r="R147" s="33" t="s">
        <v>111</v>
      </c>
      <c r="S147" s="33"/>
      <c r="T147" s="34">
        <f>0</f>
        <v>0</v>
      </c>
      <c r="U147" s="34"/>
      <c r="V147" s="34"/>
      <c r="W147" s="36" t="s">
        <v>45</v>
      </c>
      <c r="X147" s="36"/>
      <c r="Y147" s="36"/>
      <c r="Z147" s="36"/>
      <c r="AA147" s="36"/>
      <c r="AB147" s="37" t="s">
        <v>45</v>
      </c>
      <c r="AC147" s="37"/>
    </row>
    <row r="148" spans="1:29" s="1" customFormat="1" ht="13.5" customHeight="1">
      <c r="A148" s="31" t="s">
        <v>109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197</v>
      </c>
      <c r="P148" s="32"/>
      <c r="Q148" s="32"/>
      <c r="R148" s="33" t="s">
        <v>111</v>
      </c>
      <c r="S148" s="33"/>
      <c r="T148" s="34">
        <f>275990</f>
        <v>275990</v>
      </c>
      <c r="U148" s="34"/>
      <c r="V148" s="34"/>
      <c r="W148" s="34">
        <f>206992.5</f>
        <v>206992.5</v>
      </c>
      <c r="X148" s="34"/>
      <c r="Y148" s="34"/>
      <c r="Z148" s="34"/>
      <c r="AA148" s="34"/>
      <c r="AB148" s="35">
        <f>68997.5</f>
        <v>68997.5</v>
      </c>
      <c r="AC148" s="35"/>
    </row>
    <row r="149" spans="1:29" s="1" customFormat="1" ht="13.5" customHeight="1">
      <c r="A149" s="31" t="s">
        <v>109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198</v>
      </c>
      <c r="P149" s="32"/>
      <c r="Q149" s="32"/>
      <c r="R149" s="33" t="s">
        <v>111</v>
      </c>
      <c r="S149" s="33"/>
      <c r="T149" s="34">
        <f>268376.39</f>
        <v>268376.39</v>
      </c>
      <c r="U149" s="34"/>
      <c r="V149" s="34"/>
      <c r="W149" s="34">
        <f>191.2</f>
        <v>191.2</v>
      </c>
      <c r="X149" s="34"/>
      <c r="Y149" s="34"/>
      <c r="Z149" s="34"/>
      <c r="AA149" s="34"/>
      <c r="AB149" s="35">
        <f>268185.19</f>
        <v>268185.19</v>
      </c>
      <c r="AC149" s="35"/>
    </row>
    <row r="150" spans="1:29" s="1" customFormat="1" ht="13.5" customHeight="1">
      <c r="A150" s="31" t="s">
        <v>98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199</v>
      </c>
      <c r="P150" s="32"/>
      <c r="Q150" s="32"/>
      <c r="R150" s="33" t="s">
        <v>100</v>
      </c>
      <c r="S150" s="33"/>
      <c r="T150" s="34">
        <f>932845.83</f>
        <v>932845.83</v>
      </c>
      <c r="U150" s="34"/>
      <c r="V150" s="34"/>
      <c r="W150" s="34">
        <f>932845.83</f>
        <v>932845.83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105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200</v>
      </c>
      <c r="P151" s="32"/>
      <c r="Q151" s="32"/>
      <c r="R151" s="33" t="s">
        <v>107</v>
      </c>
      <c r="S151" s="33"/>
      <c r="T151" s="34">
        <f>697.6</f>
        <v>697.6</v>
      </c>
      <c r="U151" s="34"/>
      <c r="V151" s="34"/>
      <c r="W151" s="34">
        <f>697.6</f>
        <v>697.6</v>
      </c>
      <c r="X151" s="34"/>
      <c r="Y151" s="34"/>
      <c r="Z151" s="34"/>
      <c r="AA151" s="34"/>
      <c r="AB151" s="35">
        <f>0</f>
        <v>0</v>
      </c>
      <c r="AC151" s="35"/>
    </row>
    <row r="152" spans="1:29" s="1" customFormat="1" ht="13.5" customHeight="1">
      <c r="A152" s="31" t="s">
        <v>101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201</v>
      </c>
      <c r="P152" s="32"/>
      <c r="Q152" s="32"/>
      <c r="R152" s="33" t="s">
        <v>103</v>
      </c>
      <c r="S152" s="33"/>
      <c r="T152" s="34">
        <f>237543.06</f>
        <v>237543.06</v>
      </c>
      <c r="U152" s="34"/>
      <c r="V152" s="34"/>
      <c r="W152" s="34">
        <f>237543.06</f>
        <v>237543.06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126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202</v>
      </c>
      <c r="P153" s="32"/>
      <c r="Q153" s="32"/>
      <c r="R153" s="33" t="s">
        <v>128</v>
      </c>
      <c r="S153" s="33"/>
      <c r="T153" s="34">
        <f>0</f>
        <v>0</v>
      </c>
      <c r="U153" s="34"/>
      <c r="V153" s="34"/>
      <c r="W153" s="34">
        <f>0</f>
        <v>0</v>
      </c>
      <c r="X153" s="34"/>
      <c r="Y153" s="34"/>
      <c r="Z153" s="34"/>
      <c r="AA153" s="34"/>
      <c r="AB153" s="37" t="s">
        <v>45</v>
      </c>
      <c r="AC153" s="37"/>
    </row>
    <row r="154" spans="1:29" s="1" customFormat="1" ht="13.5" customHeight="1">
      <c r="A154" s="31" t="s">
        <v>122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202</v>
      </c>
      <c r="P154" s="32"/>
      <c r="Q154" s="32"/>
      <c r="R154" s="33" t="s">
        <v>124</v>
      </c>
      <c r="S154" s="33"/>
      <c r="T154" s="34">
        <f>0</f>
        <v>0</v>
      </c>
      <c r="U154" s="34"/>
      <c r="V154" s="34"/>
      <c r="W154" s="34">
        <f>0</f>
        <v>0</v>
      </c>
      <c r="X154" s="34"/>
      <c r="Y154" s="34"/>
      <c r="Z154" s="34"/>
      <c r="AA154" s="34"/>
      <c r="AB154" s="37" t="s">
        <v>45</v>
      </c>
      <c r="AC154" s="37"/>
    </row>
    <row r="155" spans="1:29" s="1" customFormat="1" ht="13.5" customHeight="1">
      <c r="A155" s="31" t="s">
        <v>131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203</v>
      </c>
      <c r="P155" s="32"/>
      <c r="Q155" s="32"/>
      <c r="R155" s="33" t="s">
        <v>132</v>
      </c>
      <c r="S155" s="33"/>
      <c r="T155" s="34">
        <f>0</f>
        <v>0</v>
      </c>
      <c r="U155" s="34"/>
      <c r="V155" s="34"/>
      <c r="W155" s="34">
        <f>0</f>
        <v>0</v>
      </c>
      <c r="X155" s="34"/>
      <c r="Y155" s="34"/>
      <c r="Z155" s="34"/>
      <c r="AA155" s="34"/>
      <c r="AB155" s="37" t="s">
        <v>45</v>
      </c>
      <c r="AC155" s="37"/>
    </row>
    <row r="156" spans="1:29" s="1" customFormat="1" ht="13.5" customHeight="1">
      <c r="A156" s="31" t="s">
        <v>133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203</v>
      </c>
      <c r="P156" s="32"/>
      <c r="Q156" s="32"/>
      <c r="R156" s="33" t="s">
        <v>134</v>
      </c>
      <c r="S156" s="33"/>
      <c r="T156" s="34">
        <f>3584.51</f>
        <v>3584.51</v>
      </c>
      <c r="U156" s="34"/>
      <c r="V156" s="34"/>
      <c r="W156" s="34">
        <f>3584.51</f>
        <v>3584.51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116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203</v>
      </c>
      <c r="P157" s="32"/>
      <c r="Q157" s="32"/>
      <c r="R157" s="33" t="s">
        <v>118</v>
      </c>
      <c r="S157" s="33"/>
      <c r="T157" s="34">
        <f>0</f>
        <v>0</v>
      </c>
      <c r="U157" s="34"/>
      <c r="V157" s="34"/>
      <c r="W157" s="36" t="s">
        <v>45</v>
      </c>
      <c r="X157" s="36"/>
      <c r="Y157" s="36"/>
      <c r="Z157" s="36"/>
      <c r="AA157" s="36"/>
      <c r="AB157" s="37" t="s">
        <v>45</v>
      </c>
      <c r="AC157" s="37"/>
    </row>
    <row r="158" spans="1:29" s="1" customFormat="1" ht="13.5" customHeight="1">
      <c r="A158" s="31" t="s">
        <v>112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203</v>
      </c>
      <c r="P158" s="32"/>
      <c r="Q158" s="32"/>
      <c r="R158" s="33" t="s">
        <v>114</v>
      </c>
      <c r="S158" s="33"/>
      <c r="T158" s="34">
        <f>0</f>
        <v>0</v>
      </c>
      <c r="U158" s="34"/>
      <c r="V158" s="34"/>
      <c r="W158" s="36" t="s">
        <v>45</v>
      </c>
      <c r="X158" s="36"/>
      <c r="Y158" s="36"/>
      <c r="Z158" s="36"/>
      <c r="AA158" s="36"/>
      <c r="AB158" s="37" t="s">
        <v>45</v>
      </c>
      <c r="AC158" s="37"/>
    </row>
    <row r="159" spans="1:29" s="1" customFormat="1" ht="13.5" customHeight="1">
      <c r="A159" s="31" t="s">
        <v>137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203</v>
      </c>
      <c r="P159" s="32"/>
      <c r="Q159" s="32"/>
      <c r="R159" s="33" t="s">
        <v>138</v>
      </c>
      <c r="S159" s="33"/>
      <c r="T159" s="34">
        <f>1000</f>
        <v>1000</v>
      </c>
      <c r="U159" s="34"/>
      <c r="V159" s="34"/>
      <c r="W159" s="34">
        <f>1000</f>
        <v>1000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204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205</v>
      </c>
      <c r="P160" s="32"/>
      <c r="Q160" s="32"/>
      <c r="R160" s="33" t="s">
        <v>206</v>
      </c>
      <c r="S160" s="33"/>
      <c r="T160" s="34">
        <f>276810</f>
        <v>276810</v>
      </c>
      <c r="U160" s="34"/>
      <c r="V160" s="34"/>
      <c r="W160" s="34">
        <f>183009.42</f>
        <v>183009.42</v>
      </c>
      <c r="X160" s="34"/>
      <c r="Y160" s="34"/>
      <c r="Z160" s="34"/>
      <c r="AA160" s="34"/>
      <c r="AB160" s="35">
        <f>93800.58</f>
        <v>93800.58</v>
      </c>
      <c r="AC160" s="35"/>
    </row>
    <row r="161" spans="1:29" s="1" customFormat="1" ht="13.5" customHeight="1">
      <c r="A161" s="31" t="s">
        <v>116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207</v>
      </c>
      <c r="P161" s="32"/>
      <c r="Q161" s="32"/>
      <c r="R161" s="33" t="s">
        <v>118</v>
      </c>
      <c r="S161" s="33"/>
      <c r="T161" s="34">
        <f>0</f>
        <v>0</v>
      </c>
      <c r="U161" s="34"/>
      <c r="V161" s="34"/>
      <c r="W161" s="36" t="s">
        <v>45</v>
      </c>
      <c r="X161" s="36"/>
      <c r="Y161" s="36"/>
      <c r="Z161" s="36"/>
      <c r="AA161" s="36"/>
      <c r="AB161" s="37" t="s">
        <v>45</v>
      </c>
      <c r="AC161" s="37"/>
    </row>
    <row r="162" spans="1:29" s="1" customFormat="1" ht="13.5" customHeight="1">
      <c r="A162" s="31" t="s">
        <v>140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207</v>
      </c>
      <c r="P162" s="32"/>
      <c r="Q162" s="32"/>
      <c r="R162" s="33" t="s">
        <v>141</v>
      </c>
      <c r="S162" s="33"/>
      <c r="T162" s="34">
        <f>2500</f>
        <v>2500</v>
      </c>
      <c r="U162" s="34"/>
      <c r="V162" s="34"/>
      <c r="W162" s="34">
        <f>2500</f>
        <v>2500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116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208</v>
      </c>
      <c r="P163" s="32"/>
      <c r="Q163" s="32"/>
      <c r="R163" s="33" t="s">
        <v>118</v>
      </c>
      <c r="S163" s="33"/>
      <c r="T163" s="34">
        <f>0</f>
        <v>0</v>
      </c>
      <c r="U163" s="34"/>
      <c r="V163" s="34"/>
      <c r="W163" s="36" t="s">
        <v>45</v>
      </c>
      <c r="X163" s="36"/>
      <c r="Y163" s="36"/>
      <c r="Z163" s="36"/>
      <c r="AA163" s="36"/>
      <c r="AB163" s="37" t="s">
        <v>45</v>
      </c>
      <c r="AC163" s="37"/>
    </row>
    <row r="164" spans="1:29" s="1" customFormat="1" ht="13.5" customHeight="1">
      <c r="A164" s="31" t="s">
        <v>140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208</v>
      </c>
      <c r="P164" s="32"/>
      <c r="Q164" s="32"/>
      <c r="R164" s="33" t="s">
        <v>141</v>
      </c>
      <c r="S164" s="33"/>
      <c r="T164" s="34">
        <f>3000</f>
        <v>3000</v>
      </c>
      <c r="U164" s="34"/>
      <c r="V164" s="34"/>
      <c r="W164" s="34">
        <f>3000</f>
        <v>3000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98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209</v>
      </c>
      <c r="P165" s="32"/>
      <c r="Q165" s="32"/>
      <c r="R165" s="33" t="s">
        <v>100</v>
      </c>
      <c r="S165" s="33"/>
      <c r="T165" s="34">
        <f>318115.85</f>
        <v>318115.85</v>
      </c>
      <c r="U165" s="34"/>
      <c r="V165" s="34"/>
      <c r="W165" s="34">
        <f>221283.62</f>
        <v>221283.62</v>
      </c>
      <c r="X165" s="34"/>
      <c r="Y165" s="34"/>
      <c r="Z165" s="34"/>
      <c r="AA165" s="34"/>
      <c r="AB165" s="35">
        <f>96832.23</f>
        <v>96832.23</v>
      </c>
      <c r="AC165" s="35"/>
    </row>
    <row r="166" spans="1:29" s="1" customFormat="1" ht="13.5" customHeight="1">
      <c r="A166" s="31" t="s">
        <v>101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210</v>
      </c>
      <c r="P166" s="32"/>
      <c r="Q166" s="32"/>
      <c r="R166" s="33" t="s">
        <v>103</v>
      </c>
      <c r="S166" s="33"/>
      <c r="T166" s="34">
        <f>96070.97</f>
        <v>96070.97</v>
      </c>
      <c r="U166" s="34"/>
      <c r="V166" s="34"/>
      <c r="W166" s="34">
        <f>67086.52</f>
        <v>67086.52</v>
      </c>
      <c r="X166" s="34"/>
      <c r="Y166" s="34"/>
      <c r="Z166" s="34"/>
      <c r="AA166" s="34"/>
      <c r="AB166" s="35">
        <f>28984.45</f>
        <v>28984.45</v>
      </c>
      <c r="AC166" s="35"/>
    </row>
    <row r="167" spans="1:29" s="1" customFormat="1" ht="13.5" customHeight="1">
      <c r="A167" s="31" t="s">
        <v>109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211</v>
      </c>
      <c r="P167" s="32"/>
      <c r="Q167" s="32"/>
      <c r="R167" s="33" t="s">
        <v>111</v>
      </c>
      <c r="S167" s="33"/>
      <c r="T167" s="34">
        <f>116283.18</f>
        <v>116283.18</v>
      </c>
      <c r="U167" s="34"/>
      <c r="V167" s="34"/>
      <c r="W167" s="36" t="s">
        <v>45</v>
      </c>
      <c r="X167" s="36"/>
      <c r="Y167" s="36"/>
      <c r="Z167" s="36"/>
      <c r="AA167" s="36"/>
      <c r="AB167" s="35">
        <f>116283.18</f>
        <v>116283.18</v>
      </c>
      <c r="AC167" s="35"/>
    </row>
    <row r="168" spans="1:29" s="1" customFormat="1" ht="13.5" customHeight="1">
      <c r="A168" s="31" t="s">
        <v>98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212</v>
      </c>
      <c r="P168" s="32"/>
      <c r="Q168" s="32"/>
      <c r="R168" s="33" t="s">
        <v>100</v>
      </c>
      <c r="S168" s="33"/>
      <c r="T168" s="34">
        <f>4224354</f>
        <v>4224354</v>
      </c>
      <c r="U168" s="34"/>
      <c r="V168" s="34"/>
      <c r="W168" s="34">
        <f>3856997.48</f>
        <v>3856997.48</v>
      </c>
      <c r="X168" s="34"/>
      <c r="Y168" s="34"/>
      <c r="Z168" s="34"/>
      <c r="AA168" s="34"/>
      <c r="AB168" s="35">
        <f>367356.52</f>
        <v>367356.52</v>
      </c>
      <c r="AC168" s="35"/>
    </row>
    <row r="169" spans="1:29" s="1" customFormat="1" ht="13.5" customHeight="1">
      <c r="A169" s="31" t="s">
        <v>105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213</v>
      </c>
      <c r="P169" s="32"/>
      <c r="Q169" s="32"/>
      <c r="R169" s="33" t="s">
        <v>107</v>
      </c>
      <c r="S169" s="33"/>
      <c r="T169" s="34">
        <f>101000</f>
        <v>101000</v>
      </c>
      <c r="U169" s="34"/>
      <c r="V169" s="34"/>
      <c r="W169" s="34">
        <f>92348.54</f>
        <v>92348.54</v>
      </c>
      <c r="X169" s="34"/>
      <c r="Y169" s="34"/>
      <c r="Z169" s="34"/>
      <c r="AA169" s="34"/>
      <c r="AB169" s="35">
        <f>8651.46</f>
        <v>8651.46</v>
      </c>
      <c r="AC169" s="35"/>
    </row>
    <row r="170" spans="1:29" s="1" customFormat="1" ht="13.5" customHeight="1">
      <c r="A170" s="31" t="s">
        <v>101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214</v>
      </c>
      <c r="P170" s="32"/>
      <c r="Q170" s="32"/>
      <c r="R170" s="33" t="s">
        <v>103</v>
      </c>
      <c r="S170" s="33"/>
      <c r="T170" s="34">
        <f>1275755</f>
        <v>1275755</v>
      </c>
      <c r="U170" s="34"/>
      <c r="V170" s="34"/>
      <c r="W170" s="34">
        <f>1137436.17</f>
        <v>1137436.17</v>
      </c>
      <c r="X170" s="34"/>
      <c r="Y170" s="34"/>
      <c r="Z170" s="34"/>
      <c r="AA170" s="34"/>
      <c r="AB170" s="35">
        <f>138318.83</f>
        <v>138318.83</v>
      </c>
      <c r="AC170" s="35"/>
    </row>
    <row r="171" spans="1:29" s="1" customFormat="1" ht="13.5" customHeight="1">
      <c r="A171" s="31" t="s">
        <v>126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215</v>
      </c>
      <c r="P171" s="32"/>
      <c r="Q171" s="32"/>
      <c r="R171" s="33" t="s">
        <v>128</v>
      </c>
      <c r="S171" s="33"/>
      <c r="T171" s="34">
        <f>60500</f>
        <v>60500</v>
      </c>
      <c r="U171" s="34"/>
      <c r="V171" s="34"/>
      <c r="W171" s="34">
        <f>36868.19</f>
        <v>36868.19</v>
      </c>
      <c r="X171" s="34"/>
      <c r="Y171" s="34"/>
      <c r="Z171" s="34"/>
      <c r="AA171" s="34"/>
      <c r="AB171" s="35">
        <f>23631.81</f>
        <v>23631.81</v>
      </c>
      <c r="AC171" s="35"/>
    </row>
    <row r="172" spans="1:29" s="1" customFormat="1" ht="13.5" customHeight="1">
      <c r="A172" s="31" t="s">
        <v>122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215</v>
      </c>
      <c r="P172" s="32"/>
      <c r="Q172" s="32"/>
      <c r="R172" s="33" t="s">
        <v>124</v>
      </c>
      <c r="S172" s="33"/>
      <c r="T172" s="34">
        <f>50000</f>
        <v>50000</v>
      </c>
      <c r="U172" s="34"/>
      <c r="V172" s="34"/>
      <c r="W172" s="34">
        <f>34550</f>
        <v>34550</v>
      </c>
      <c r="X172" s="34"/>
      <c r="Y172" s="34"/>
      <c r="Z172" s="34"/>
      <c r="AA172" s="34"/>
      <c r="AB172" s="35">
        <f>15450</f>
        <v>15450</v>
      </c>
      <c r="AC172" s="35"/>
    </row>
    <row r="173" spans="1:29" s="1" customFormat="1" ht="13.5" customHeight="1">
      <c r="A173" s="31" t="s">
        <v>126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216</v>
      </c>
      <c r="P173" s="32"/>
      <c r="Q173" s="32"/>
      <c r="R173" s="33" t="s">
        <v>128</v>
      </c>
      <c r="S173" s="33"/>
      <c r="T173" s="34">
        <f>3000</f>
        <v>3000</v>
      </c>
      <c r="U173" s="34"/>
      <c r="V173" s="34"/>
      <c r="W173" s="34">
        <f>1000</f>
        <v>1000</v>
      </c>
      <c r="X173" s="34"/>
      <c r="Y173" s="34"/>
      <c r="Z173" s="34"/>
      <c r="AA173" s="34"/>
      <c r="AB173" s="35">
        <f>2000</f>
        <v>2000</v>
      </c>
      <c r="AC173" s="35"/>
    </row>
    <row r="174" spans="1:29" s="1" customFormat="1" ht="13.5" customHeight="1">
      <c r="A174" s="31" t="s">
        <v>131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216</v>
      </c>
      <c r="P174" s="32"/>
      <c r="Q174" s="32"/>
      <c r="R174" s="33" t="s">
        <v>132</v>
      </c>
      <c r="S174" s="33"/>
      <c r="T174" s="34">
        <f>758765.7</f>
        <v>758765.7</v>
      </c>
      <c r="U174" s="34"/>
      <c r="V174" s="34"/>
      <c r="W174" s="34">
        <f>525387.81</f>
        <v>525387.81</v>
      </c>
      <c r="X174" s="34"/>
      <c r="Y174" s="34"/>
      <c r="Z174" s="34"/>
      <c r="AA174" s="34"/>
      <c r="AB174" s="35">
        <f>233377.89</f>
        <v>233377.89</v>
      </c>
      <c r="AC174" s="35"/>
    </row>
    <row r="175" spans="1:29" s="1" customFormat="1" ht="13.5" customHeight="1">
      <c r="A175" s="31" t="s">
        <v>133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216</v>
      </c>
      <c r="P175" s="32"/>
      <c r="Q175" s="32"/>
      <c r="R175" s="33" t="s">
        <v>134</v>
      </c>
      <c r="S175" s="33"/>
      <c r="T175" s="34">
        <f>101000</f>
        <v>101000</v>
      </c>
      <c r="U175" s="34"/>
      <c r="V175" s="34"/>
      <c r="W175" s="34">
        <f>77455.68</f>
        <v>77455.68</v>
      </c>
      <c r="X175" s="34"/>
      <c r="Y175" s="34"/>
      <c r="Z175" s="34"/>
      <c r="AA175" s="34"/>
      <c r="AB175" s="35">
        <f>23544.32</f>
        <v>23544.32</v>
      </c>
      <c r="AC175" s="35"/>
    </row>
    <row r="176" spans="1:29" s="1" customFormat="1" ht="13.5" customHeight="1">
      <c r="A176" s="31" t="s">
        <v>122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216</v>
      </c>
      <c r="P176" s="32"/>
      <c r="Q176" s="32"/>
      <c r="R176" s="33" t="s">
        <v>124</v>
      </c>
      <c r="S176" s="33"/>
      <c r="T176" s="34">
        <f>820000</f>
        <v>820000</v>
      </c>
      <c r="U176" s="34"/>
      <c r="V176" s="34"/>
      <c r="W176" s="34">
        <f>533920.24</f>
        <v>533920.24</v>
      </c>
      <c r="X176" s="34"/>
      <c r="Y176" s="34"/>
      <c r="Z176" s="34"/>
      <c r="AA176" s="34"/>
      <c r="AB176" s="35">
        <f>286079.76</f>
        <v>286079.76</v>
      </c>
      <c r="AC176" s="35"/>
    </row>
    <row r="177" spans="1:29" s="1" customFormat="1" ht="13.5" customHeight="1">
      <c r="A177" s="31" t="s">
        <v>116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216</v>
      </c>
      <c r="P177" s="32"/>
      <c r="Q177" s="32"/>
      <c r="R177" s="33" t="s">
        <v>118</v>
      </c>
      <c r="S177" s="33"/>
      <c r="T177" s="34">
        <f>0</f>
        <v>0</v>
      </c>
      <c r="U177" s="34"/>
      <c r="V177" s="34"/>
      <c r="W177" s="34">
        <f>0</f>
        <v>0</v>
      </c>
      <c r="X177" s="34"/>
      <c r="Y177" s="34"/>
      <c r="Z177" s="34"/>
      <c r="AA177" s="34"/>
      <c r="AB177" s="37" t="s">
        <v>45</v>
      </c>
      <c r="AC177" s="37"/>
    </row>
    <row r="178" spans="1:29" s="1" customFormat="1" ht="13.5" customHeight="1">
      <c r="A178" s="31" t="s">
        <v>112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216</v>
      </c>
      <c r="P178" s="32"/>
      <c r="Q178" s="32"/>
      <c r="R178" s="33" t="s">
        <v>114</v>
      </c>
      <c r="S178" s="33"/>
      <c r="T178" s="34">
        <f>100000</f>
        <v>100000</v>
      </c>
      <c r="U178" s="34"/>
      <c r="V178" s="34"/>
      <c r="W178" s="34">
        <f>36000</f>
        <v>36000</v>
      </c>
      <c r="X178" s="34"/>
      <c r="Y178" s="34"/>
      <c r="Z178" s="34"/>
      <c r="AA178" s="34"/>
      <c r="AB178" s="35">
        <f>64000</f>
        <v>64000</v>
      </c>
      <c r="AC178" s="35"/>
    </row>
    <row r="179" spans="1:29" s="1" customFormat="1" ht="13.5" customHeight="1">
      <c r="A179" s="31" t="s">
        <v>135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216</v>
      </c>
      <c r="P179" s="32"/>
      <c r="Q179" s="32"/>
      <c r="R179" s="33" t="s">
        <v>136</v>
      </c>
      <c r="S179" s="33"/>
      <c r="T179" s="34">
        <f>15500</f>
        <v>15500</v>
      </c>
      <c r="U179" s="34"/>
      <c r="V179" s="34"/>
      <c r="W179" s="36" t="s">
        <v>45</v>
      </c>
      <c r="X179" s="36"/>
      <c r="Y179" s="36"/>
      <c r="Z179" s="36"/>
      <c r="AA179" s="36"/>
      <c r="AB179" s="35">
        <f>15500</f>
        <v>15500</v>
      </c>
      <c r="AC179" s="35"/>
    </row>
    <row r="180" spans="1:29" s="1" customFormat="1" ht="13.5" customHeight="1">
      <c r="A180" s="31" t="s">
        <v>137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216</v>
      </c>
      <c r="P180" s="32"/>
      <c r="Q180" s="32"/>
      <c r="R180" s="33" t="s">
        <v>138</v>
      </c>
      <c r="S180" s="33"/>
      <c r="T180" s="34">
        <f>102400</f>
        <v>102400</v>
      </c>
      <c r="U180" s="34"/>
      <c r="V180" s="34"/>
      <c r="W180" s="34">
        <f>65300</f>
        <v>65300</v>
      </c>
      <c r="X180" s="34"/>
      <c r="Y180" s="34"/>
      <c r="Z180" s="34"/>
      <c r="AA180" s="34"/>
      <c r="AB180" s="35">
        <f>37100</f>
        <v>37100</v>
      </c>
      <c r="AC180" s="35"/>
    </row>
    <row r="181" spans="1:29" s="1" customFormat="1" ht="13.5" customHeight="1">
      <c r="A181" s="31" t="s">
        <v>116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217</v>
      </c>
      <c r="P181" s="32"/>
      <c r="Q181" s="32"/>
      <c r="R181" s="33" t="s">
        <v>118</v>
      </c>
      <c r="S181" s="33"/>
      <c r="T181" s="34">
        <f>0</f>
        <v>0</v>
      </c>
      <c r="U181" s="34"/>
      <c r="V181" s="34"/>
      <c r="W181" s="36" t="s">
        <v>45</v>
      </c>
      <c r="X181" s="36"/>
      <c r="Y181" s="36"/>
      <c r="Z181" s="36"/>
      <c r="AA181" s="36"/>
      <c r="AB181" s="37" t="s">
        <v>45</v>
      </c>
      <c r="AC181" s="37"/>
    </row>
    <row r="182" spans="1:29" s="1" customFormat="1" ht="13.5" customHeight="1">
      <c r="A182" s="31" t="s">
        <v>140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217</v>
      </c>
      <c r="P182" s="32"/>
      <c r="Q182" s="32"/>
      <c r="R182" s="33" t="s">
        <v>141</v>
      </c>
      <c r="S182" s="33"/>
      <c r="T182" s="34">
        <f>25500</f>
        <v>25500</v>
      </c>
      <c r="U182" s="34"/>
      <c r="V182" s="34"/>
      <c r="W182" s="34">
        <f>7995</f>
        <v>7995</v>
      </c>
      <c r="X182" s="34"/>
      <c r="Y182" s="34"/>
      <c r="Z182" s="34"/>
      <c r="AA182" s="34"/>
      <c r="AB182" s="35">
        <f>17505</f>
        <v>17505</v>
      </c>
      <c r="AC182" s="35"/>
    </row>
    <row r="183" spans="1:29" s="1" customFormat="1" ht="13.5" customHeight="1">
      <c r="A183" s="31" t="s">
        <v>116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218</v>
      </c>
      <c r="P183" s="32"/>
      <c r="Q183" s="32"/>
      <c r="R183" s="33" t="s">
        <v>118</v>
      </c>
      <c r="S183" s="33"/>
      <c r="T183" s="34">
        <f>0</f>
        <v>0</v>
      </c>
      <c r="U183" s="34"/>
      <c r="V183" s="34"/>
      <c r="W183" s="36" t="s">
        <v>45</v>
      </c>
      <c r="X183" s="36"/>
      <c r="Y183" s="36"/>
      <c r="Z183" s="36"/>
      <c r="AA183" s="36"/>
      <c r="AB183" s="37" t="s">
        <v>45</v>
      </c>
      <c r="AC183" s="37"/>
    </row>
    <row r="184" spans="1:29" s="1" customFormat="1" ht="13.5" customHeight="1">
      <c r="A184" s="31" t="s">
        <v>140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218</v>
      </c>
      <c r="P184" s="32"/>
      <c r="Q184" s="32"/>
      <c r="R184" s="33" t="s">
        <v>141</v>
      </c>
      <c r="S184" s="33"/>
      <c r="T184" s="34">
        <f>15000</f>
        <v>15000</v>
      </c>
      <c r="U184" s="34"/>
      <c r="V184" s="34"/>
      <c r="W184" s="34">
        <f>4000</f>
        <v>4000</v>
      </c>
      <c r="X184" s="34"/>
      <c r="Y184" s="34"/>
      <c r="Z184" s="34"/>
      <c r="AA184" s="34"/>
      <c r="AB184" s="35">
        <f>11000</f>
        <v>11000</v>
      </c>
      <c r="AC184" s="35"/>
    </row>
    <row r="185" spans="1:29" s="1" customFormat="1" ht="13.5" customHeight="1">
      <c r="A185" s="31" t="s">
        <v>129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97</v>
      </c>
      <c r="M185" s="32"/>
      <c r="N185" s="32"/>
      <c r="O185" s="32" t="s">
        <v>219</v>
      </c>
      <c r="P185" s="32"/>
      <c r="Q185" s="32"/>
      <c r="R185" s="33" t="s">
        <v>130</v>
      </c>
      <c r="S185" s="33"/>
      <c r="T185" s="34">
        <f>0</f>
        <v>0</v>
      </c>
      <c r="U185" s="34"/>
      <c r="V185" s="34"/>
      <c r="W185" s="36" t="s">
        <v>45</v>
      </c>
      <c r="X185" s="36"/>
      <c r="Y185" s="36"/>
      <c r="Z185" s="36"/>
      <c r="AA185" s="36"/>
      <c r="AB185" s="37" t="s">
        <v>45</v>
      </c>
      <c r="AC185" s="37"/>
    </row>
    <row r="186" spans="1:29" s="1" customFormat="1" ht="13.5" customHeight="1">
      <c r="A186" s="31" t="s">
        <v>122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97</v>
      </c>
      <c r="M186" s="32"/>
      <c r="N186" s="32"/>
      <c r="O186" s="32" t="s">
        <v>219</v>
      </c>
      <c r="P186" s="32"/>
      <c r="Q186" s="32"/>
      <c r="R186" s="33" t="s">
        <v>124</v>
      </c>
      <c r="S186" s="33"/>
      <c r="T186" s="34">
        <f>0</f>
        <v>0</v>
      </c>
      <c r="U186" s="34"/>
      <c r="V186" s="34"/>
      <c r="W186" s="36" t="s">
        <v>45</v>
      </c>
      <c r="X186" s="36"/>
      <c r="Y186" s="36"/>
      <c r="Z186" s="36"/>
      <c r="AA186" s="36"/>
      <c r="AB186" s="37" t="s">
        <v>45</v>
      </c>
      <c r="AC186" s="37"/>
    </row>
    <row r="187" spans="1:29" s="1" customFormat="1" ht="13.5" customHeight="1">
      <c r="A187" s="31" t="s">
        <v>116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97</v>
      </c>
      <c r="M187" s="32"/>
      <c r="N187" s="32"/>
      <c r="O187" s="32" t="s">
        <v>219</v>
      </c>
      <c r="P187" s="32"/>
      <c r="Q187" s="32"/>
      <c r="R187" s="33" t="s">
        <v>118</v>
      </c>
      <c r="S187" s="33"/>
      <c r="T187" s="34">
        <f>0</f>
        <v>0</v>
      </c>
      <c r="U187" s="34"/>
      <c r="V187" s="34"/>
      <c r="W187" s="34">
        <f>0</f>
        <v>0</v>
      </c>
      <c r="X187" s="34"/>
      <c r="Y187" s="34"/>
      <c r="Z187" s="34"/>
      <c r="AA187" s="34"/>
      <c r="AB187" s="37" t="s">
        <v>45</v>
      </c>
      <c r="AC187" s="37"/>
    </row>
    <row r="188" spans="1:29" s="1" customFormat="1" ht="13.5" customHeight="1">
      <c r="A188" s="31" t="s">
        <v>112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97</v>
      </c>
      <c r="M188" s="32"/>
      <c r="N188" s="32"/>
      <c r="O188" s="32" t="s">
        <v>219</v>
      </c>
      <c r="P188" s="32"/>
      <c r="Q188" s="32"/>
      <c r="R188" s="33" t="s">
        <v>114</v>
      </c>
      <c r="S188" s="33"/>
      <c r="T188" s="34">
        <f>73026</f>
        <v>73026</v>
      </c>
      <c r="U188" s="34"/>
      <c r="V188" s="34"/>
      <c r="W188" s="34">
        <f>73026</f>
        <v>73026</v>
      </c>
      <c r="X188" s="34"/>
      <c r="Y188" s="34"/>
      <c r="Z188" s="34"/>
      <c r="AA188" s="34"/>
      <c r="AB188" s="35">
        <f>0</f>
        <v>0</v>
      </c>
      <c r="AC188" s="35"/>
    </row>
    <row r="189" spans="1:29" s="1" customFormat="1" ht="13.5" customHeight="1">
      <c r="A189" s="31" t="s">
        <v>135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97</v>
      </c>
      <c r="M189" s="32"/>
      <c r="N189" s="32"/>
      <c r="O189" s="32" t="s">
        <v>219</v>
      </c>
      <c r="P189" s="32"/>
      <c r="Q189" s="32"/>
      <c r="R189" s="33" t="s">
        <v>136</v>
      </c>
      <c r="S189" s="33"/>
      <c r="T189" s="34">
        <f>15000</f>
        <v>15000</v>
      </c>
      <c r="U189" s="34"/>
      <c r="V189" s="34"/>
      <c r="W189" s="34">
        <f>15000</f>
        <v>15000</v>
      </c>
      <c r="X189" s="34"/>
      <c r="Y189" s="34"/>
      <c r="Z189" s="34"/>
      <c r="AA189" s="34"/>
      <c r="AB189" s="35">
        <f>0</f>
        <v>0</v>
      </c>
      <c r="AC189" s="35"/>
    </row>
    <row r="190" spans="1:29" s="1" customFormat="1" ht="13.5" customHeight="1">
      <c r="A190" s="31" t="s">
        <v>137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 t="s">
        <v>97</v>
      </c>
      <c r="M190" s="32"/>
      <c r="N190" s="32"/>
      <c r="O190" s="32" t="s">
        <v>219</v>
      </c>
      <c r="P190" s="32"/>
      <c r="Q190" s="32"/>
      <c r="R190" s="33" t="s">
        <v>138</v>
      </c>
      <c r="S190" s="33"/>
      <c r="T190" s="34">
        <f>56974</f>
        <v>56974</v>
      </c>
      <c r="U190" s="34"/>
      <c r="V190" s="34"/>
      <c r="W190" s="34">
        <f>56974</f>
        <v>56974</v>
      </c>
      <c r="X190" s="34"/>
      <c r="Y190" s="34"/>
      <c r="Z190" s="34"/>
      <c r="AA190" s="34"/>
      <c r="AB190" s="35">
        <f>0</f>
        <v>0</v>
      </c>
      <c r="AC190" s="35"/>
    </row>
    <row r="191" spans="1:29" s="1" customFormat="1" ht="13.5" customHeight="1">
      <c r="A191" s="31" t="s">
        <v>98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2" t="s">
        <v>97</v>
      </c>
      <c r="M191" s="32"/>
      <c r="N191" s="32"/>
      <c r="O191" s="32" t="s">
        <v>220</v>
      </c>
      <c r="P191" s="32"/>
      <c r="Q191" s="32"/>
      <c r="R191" s="33" t="s">
        <v>100</v>
      </c>
      <c r="S191" s="33"/>
      <c r="T191" s="34">
        <f>4650854.45</f>
        <v>4650854.45</v>
      </c>
      <c r="U191" s="34"/>
      <c r="V191" s="34"/>
      <c r="W191" s="34">
        <f>2234446</f>
        <v>2234446</v>
      </c>
      <c r="X191" s="34"/>
      <c r="Y191" s="34"/>
      <c r="Z191" s="34"/>
      <c r="AA191" s="34"/>
      <c r="AB191" s="35">
        <f>2416408.45</f>
        <v>2416408.45</v>
      </c>
      <c r="AC191" s="35"/>
    </row>
    <row r="192" spans="1:29" s="1" customFormat="1" ht="13.5" customHeight="1">
      <c r="A192" s="31" t="s">
        <v>101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2" t="s">
        <v>97</v>
      </c>
      <c r="M192" s="32"/>
      <c r="N192" s="32"/>
      <c r="O192" s="32" t="s">
        <v>221</v>
      </c>
      <c r="P192" s="32"/>
      <c r="Q192" s="32"/>
      <c r="R192" s="33" t="s">
        <v>103</v>
      </c>
      <c r="S192" s="33"/>
      <c r="T192" s="34">
        <f>1404559.05</f>
        <v>1404559.05</v>
      </c>
      <c r="U192" s="34"/>
      <c r="V192" s="34"/>
      <c r="W192" s="34">
        <f>674801</f>
        <v>674801</v>
      </c>
      <c r="X192" s="34"/>
      <c r="Y192" s="34"/>
      <c r="Z192" s="34"/>
      <c r="AA192" s="34"/>
      <c r="AB192" s="35">
        <f>729758.05</f>
        <v>729758.05</v>
      </c>
      <c r="AC192" s="35"/>
    </row>
    <row r="193" spans="1:29" s="1" customFormat="1" ht="13.5" customHeight="1">
      <c r="A193" s="31" t="s">
        <v>98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2" t="s">
        <v>97</v>
      </c>
      <c r="M193" s="32"/>
      <c r="N193" s="32"/>
      <c r="O193" s="32" t="s">
        <v>222</v>
      </c>
      <c r="P193" s="32"/>
      <c r="Q193" s="32"/>
      <c r="R193" s="33" t="s">
        <v>100</v>
      </c>
      <c r="S193" s="33"/>
      <c r="T193" s="34">
        <f>469782.6</f>
        <v>469782.6</v>
      </c>
      <c r="U193" s="34"/>
      <c r="V193" s="34"/>
      <c r="W193" s="34">
        <f>252995.4</f>
        <v>252995.4</v>
      </c>
      <c r="X193" s="34"/>
      <c r="Y193" s="34"/>
      <c r="Z193" s="34"/>
      <c r="AA193" s="34"/>
      <c r="AB193" s="35">
        <f>216787.2</f>
        <v>216787.2</v>
      </c>
      <c r="AC193" s="35"/>
    </row>
    <row r="194" spans="1:29" s="1" customFormat="1" ht="13.5" customHeight="1">
      <c r="A194" s="31" t="s">
        <v>101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2" t="s">
        <v>97</v>
      </c>
      <c r="M194" s="32"/>
      <c r="N194" s="32"/>
      <c r="O194" s="32" t="s">
        <v>223</v>
      </c>
      <c r="P194" s="32"/>
      <c r="Q194" s="32"/>
      <c r="R194" s="33" t="s">
        <v>103</v>
      </c>
      <c r="S194" s="33"/>
      <c r="T194" s="34">
        <f>141874.34</f>
        <v>141874.34</v>
      </c>
      <c r="U194" s="34"/>
      <c r="V194" s="34"/>
      <c r="W194" s="34">
        <f>76404.44</f>
        <v>76404.44</v>
      </c>
      <c r="X194" s="34"/>
      <c r="Y194" s="34"/>
      <c r="Z194" s="34"/>
      <c r="AA194" s="34"/>
      <c r="AB194" s="35">
        <f>65469.9</f>
        <v>65469.9</v>
      </c>
      <c r="AC194" s="35"/>
    </row>
    <row r="195" spans="1:29" s="1" customFormat="1" ht="24" customHeight="1">
      <c r="A195" s="31" t="s">
        <v>204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2" t="s">
        <v>97</v>
      </c>
      <c r="M195" s="32"/>
      <c r="N195" s="32"/>
      <c r="O195" s="32" t="s">
        <v>224</v>
      </c>
      <c r="P195" s="32"/>
      <c r="Q195" s="32"/>
      <c r="R195" s="33" t="s">
        <v>206</v>
      </c>
      <c r="S195" s="33"/>
      <c r="T195" s="34">
        <f>696642.8</f>
        <v>696642.8</v>
      </c>
      <c r="U195" s="34"/>
      <c r="V195" s="34"/>
      <c r="W195" s="34">
        <f>162000</f>
        <v>162000</v>
      </c>
      <c r="X195" s="34"/>
      <c r="Y195" s="34"/>
      <c r="Z195" s="34"/>
      <c r="AA195" s="34"/>
      <c r="AB195" s="35">
        <f>534642.8</f>
        <v>534642.8</v>
      </c>
      <c r="AC195" s="35"/>
    </row>
    <row r="196" spans="1:29" s="1" customFormat="1" ht="13.5" customHeight="1">
      <c r="A196" s="31" t="s">
        <v>116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2" t="s">
        <v>97</v>
      </c>
      <c r="M196" s="32"/>
      <c r="N196" s="32"/>
      <c r="O196" s="32" t="s">
        <v>225</v>
      </c>
      <c r="P196" s="32"/>
      <c r="Q196" s="32"/>
      <c r="R196" s="33" t="s">
        <v>118</v>
      </c>
      <c r="S196" s="33"/>
      <c r="T196" s="34">
        <f>0</f>
        <v>0</v>
      </c>
      <c r="U196" s="34"/>
      <c r="V196" s="34"/>
      <c r="W196" s="34">
        <f>0</f>
        <v>0</v>
      </c>
      <c r="X196" s="34"/>
      <c r="Y196" s="34"/>
      <c r="Z196" s="34"/>
      <c r="AA196" s="34"/>
      <c r="AB196" s="37" t="s">
        <v>45</v>
      </c>
      <c r="AC196" s="37"/>
    </row>
    <row r="197" spans="1:29" s="1" customFormat="1" ht="13.5" customHeight="1">
      <c r="A197" s="31" t="s">
        <v>112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2" t="s">
        <v>97</v>
      </c>
      <c r="M197" s="32"/>
      <c r="N197" s="32"/>
      <c r="O197" s="32" t="s">
        <v>225</v>
      </c>
      <c r="P197" s="32"/>
      <c r="Q197" s="32"/>
      <c r="R197" s="33" t="s">
        <v>114</v>
      </c>
      <c r="S197" s="33"/>
      <c r="T197" s="34">
        <f>30000</f>
        <v>30000</v>
      </c>
      <c r="U197" s="34"/>
      <c r="V197" s="34"/>
      <c r="W197" s="34">
        <f>16000</f>
        <v>16000</v>
      </c>
      <c r="X197" s="34"/>
      <c r="Y197" s="34"/>
      <c r="Z197" s="34"/>
      <c r="AA197" s="34"/>
      <c r="AB197" s="35">
        <f>14000</f>
        <v>14000</v>
      </c>
      <c r="AC197" s="35"/>
    </row>
    <row r="198" spans="1:29" s="1" customFormat="1" ht="13.5" customHeight="1">
      <c r="A198" s="31" t="s">
        <v>122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2" t="s">
        <v>97</v>
      </c>
      <c r="M198" s="32"/>
      <c r="N198" s="32"/>
      <c r="O198" s="32" t="s">
        <v>226</v>
      </c>
      <c r="P198" s="32"/>
      <c r="Q198" s="32"/>
      <c r="R198" s="33" t="s">
        <v>124</v>
      </c>
      <c r="S198" s="33"/>
      <c r="T198" s="34">
        <f>80000</f>
        <v>80000</v>
      </c>
      <c r="U198" s="34"/>
      <c r="V198" s="34"/>
      <c r="W198" s="34">
        <f>60240.66</f>
        <v>60240.66</v>
      </c>
      <c r="X198" s="34"/>
      <c r="Y198" s="34"/>
      <c r="Z198" s="34"/>
      <c r="AA198" s="34"/>
      <c r="AB198" s="35">
        <f>19759.34</f>
        <v>19759.34</v>
      </c>
      <c r="AC198" s="35"/>
    </row>
    <row r="199" spans="1:29" s="1" customFormat="1" ht="15" customHeight="1">
      <c r="A199" s="38" t="s">
        <v>227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9" t="s">
        <v>228</v>
      </c>
      <c r="M199" s="39"/>
      <c r="N199" s="39"/>
      <c r="O199" s="39" t="s">
        <v>36</v>
      </c>
      <c r="P199" s="39"/>
      <c r="Q199" s="39"/>
      <c r="R199" s="40" t="s">
        <v>36</v>
      </c>
      <c r="S199" s="40"/>
      <c r="T199" s="41">
        <f>-2247791.04</f>
        <v>-2247791.04</v>
      </c>
      <c r="U199" s="41"/>
      <c r="V199" s="41"/>
      <c r="W199" s="41">
        <f>-231366.45</f>
        <v>-231366.45</v>
      </c>
      <c r="X199" s="41"/>
      <c r="Y199" s="41"/>
      <c r="Z199" s="41"/>
      <c r="AA199" s="41"/>
      <c r="AB199" s="42" t="s">
        <v>36</v>
      </c>
      <c r="AC199" s="42"/>
    </row>
    <row r="200" spans="1:29" s="1" customFormat="1" ht="13.5" customHeight="1">
      <c r="A200" s="7" t="s">
        <v>10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12" t="s">
        <v>229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s="1" customFormat="1" ht="45.75" customHeight="1">
      <c r="A202" s="13" t="s">
        <v>22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 t="s">
        <v>23</v>
      </c>
      <c r="N202" s="13"/>
      <c r="O202" s="13"/>
      <c r="P202" s="13" t="s">
        <v>230</v>
      </c>
      <c r="Q202" s="13"/>
      <c r="R202" s="13"/>
      <c r="S202" s="14" t="s">
        <v>25</v>
      </c>
      <c r="T202" s="14"/>
      <c r="U202" s="14"/>
      <c r="V202" s="14" t="s">
        <v>26</v>
      </c>
      <c r="W202" s="14"/>
      <c r="X202" s="14"/>
      <c r="Y202" s="14"/>
      <c r="Z202" s="14"/>
      <c r="AA202" s="15" t="s">
        <v>27</v>
      </c>
      <c r="AB202" s="15"/>
      <c r="AC202" s="15"/>
    </row>
    <row r="203" spans="1:29" s="1" customFormat="1" ht="12.75" customHeight="1">
      <c r="A203" s="16" t="s">
        <v>28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 t="s">
        <v>29</v>
      </c>
      <c r="N203" s="16"/>
      <c r="O203" s="16"/>
      <c r="P203" s="16" t="s">
        <v>30</v>
      </c>
      <c r="Q203" s="16"/>
      <c r="R203" s="16"/>
      <c r="S203" s="17" t="s">
        <v>31</v>
      </c>
      <c r="T203" s="17"/>
      <c r="U203" s="17"/>
      <c r="V203" s="17" t="s">
        <v>32</v>
      </c>
      <c r="W203" s="17"/>
      <c r="X203" s="17"/>
      <c r="Y203" s="17"/>
      <c r="Z203" s="17"/>
      <c r="AA203" s="18" t="s">
        <v>33</v>
      </c>
      <c r="AB203" s="18"/>
      <c r="AC203" s="18"/>
    </row>
    <row r="204" spans="1:29" s="1" customFormat="1" ht="13.5" customHeight="1">
      <c r="A204" s="19" t="s">
        <v>231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 t="s">
        <v>232</v>
      </c>
      <c r="N204" s="20"/>
      <c r="O204" s="20"/>
      <c r="P204" s="20" t="s">
        <v>36</v>
      </c>
      <c r="Q204" s="20"/>
      <c r="R204" s="20"/>
      <c r="S204" s="43">
        <f>2247791.04</f>
        <v>2247791.04</v>
      </c>
      <c r="T204" s="43"/>
      <c r="U204" s="43"/>
      <c r="V204" s="21">
        <f>231366.45</f>
        <v>231366.45</v>
      </c>
      <c r="W204" s="21"/>
      <c r="X204" s="21"/>
      <c r="Y204" s="21"/>
      <c r="Z204" s="21"/>
      <c r="AA204" s="44" t="s">
        <v>36</v>
      </c>
      <c r="AB204" s="44"/>
      <c r="AC204" s="44"/>
    </row>
    <row r="205" spans="1:29" s="1" customFormat="1" ht="13.5" customHeight="1">
      <c r="A205" s="45" t="s">
        <v>233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6" t="s">
        <v>10</v>
      </c>
      <c r="N205" s="46"/>
      <c r="O205" s="46"/>
      <c r="P205" s="46" t="s">
        <v>10</v>
      </c>
      <c r="Q205" s="46"/>
      <c r="R205" s="46"/>
      <c r="S205" s="47" t="s">
        <v>10</v>
      </c>
      <c r="T205" s="47"/>
      <c r="U205" s="47"/>
      <c r="V205" s="48" t="s">
        <v>10</v>
      </c>
      <c r="W205" s="48"/>
      <c r="X205" s="48"/>
      <c r="Y205" s="48"/>
      <c r="Z205" s="48"/>
      <c r="AA205" s="49" t="s">
        <v>10</v>
      </c>
      <c r="AB205" s="49"/>
      <c r="AC205" s="49"/>
    </row>
    <row r="206" spans="1:29" s="1" customFormat="1" ht="13.5" customHeight="1">
      <c r="A206" s="23" t="s">
        <v>234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50" t="s">
        <v>235</v>
      </c>
      <c r="N206" s="50"/>
      <c r="O206" s="50"/>
      <c r="P206" s="24" t="s">
        <v>36</v>
      </c>
      <c r="Q206" s="24"/>
      <c r="R206" s="24"/>
      <c r="S206" s="51" t="s">
        <v>45</v>
      </c>
      <c r="T206" s="51"/>
      <c r="U206" s="51"/>
      <c r="V206" s="28" t="s">
        <v>45</v>
      </c>
      <c r="W206" s="28"/>
      <c r="X206" s="28"/>
      <c r="Y206" s="28"/>
      <c r="Z206" s="28"/>
      <c r="AA206" s="52" t="s">
        <v>45</v>
      </c>
      <c r="AB206" s="52"/>
      <c r="AC206" s="52"/>
    </row>
    <row r="207" spans="1:29" s="1" customFormat="1" ht="13.5" customHeight="1">
      <c r="A207" s="31" t="s">
        <v>10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2" t="s">
        <v>235</v>
      </c>
      <c r="N207" s="32"/>
      <c r="O207" s="32"/>
      <c r="P207" s="32" t="s">
        <v>10</v>
      </c>
      <c r="Q207" s="32"/>
      <c r="R207" s="32"/>
      <c r="S207" s="53" t="s">
        <v>45</v>
      </c>
      <c r="T207" s="53"/>
      <c r="U207" s="53"/>
      <c r="V207" s="36" t="s">
        <v>45</v>
      </c>
      <c r="W207" s="36"/>
      <c r="X207" s="36"/>
      <c r="Y207" s="36"/>
      <c r="Z207" s="36"/>
      <c r="AA207" s="54" t="s">
        <v>45</v>
      </c>
      <c r="AB207" s="54"/>
      <c r="AC207" s="54"/>
    </row>
    <row r="208" spans="1:29" s="1" customFormat="1" ht="13.5" customHeight="1">
      <c r="A208" s="31" t="s">
        <v>236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46" t="s">
        <v>237</v>
      </c>
      <c r="N208" s="46"/>
      <c r="O208" s="46"/>
      <c r="P208" s="46" t="s">
        <v>36</v>
      </c>
      <c r="Q208" s="46"/>
      <c r="R208" s="46"/>
      <c r="S208" s="47" t="s">
        <v>45</v>
      </c>
      <c r="T208" s="47"/>
      <c r="U208" s="47"/>
      <c r="V208" s="36" t="s">
        <v>45</v>
      </c>
      <c r="W208" s="36"/>
      <c r="X208" s="36"/>
      <c r="Y208" s="36"/>
      <c r="Z208" s="36"/>
      <c r="AA208" s="49" t="s">
        <v>45</v>
      </c>
      <c r="AB208" s="49"/>
      <c r="AC208" s="49"/>
    </row>
    <row r="209" spans="1:29" s="1" customFormat="1" ht="13.5" customHeight="1">
      <c r="A209" s="31" t="s">
        <v>10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2" t="s">
        <v>237</v>
      </c>
      <c r="N209" s="32"/>
      <c r="O209" s="32"/>
      <c r="P209" s="32" t="s">
        <v>10</v>
      </c>
      <c r="Q209" s="32"/>
      <c r="R209" s="32"/>
      <c r="S209" s="53" t="s">
        <v>45</v>
      </c>
      <c r="T209" s="53"/>
      <c r="U209" s="53"/>
      <c r="V209" s="36" t="s">
        <v>45</v>
      </c>
      <c r="W209" s="36"/>
      <c r="X209" s="36"/>
      <c r="Y209" s="36"/>
      <c r="Z209" s="36"/>
      <c r="AA209" s="54" t="s">
        <v>45</v>
      </c>
      <c r="AB209" s="54"/>
      <c r="AC209" s="54"/>
    </row>
    <row r="210" spans="1:29" s="1" customFormat="1" ht="13.5" customHeight="1">
      <c r="A210" s="31" t="s">
        <v>238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2" t="s">
        <v>239</v>
      </c>
      <c r="N210" s="32"/>
      <c r="O210" s="32"/>
      <c r="P210" s="32" t="s">
        <v>240</v>
      </c>
      <c r="Q210" s="32"/>
      <c r="R210" s="32"/>
      <c r="S210" s="55">
        <f>2247791.04</f>
        <v>2247791.04</v>
      </c>
      <c r="T210" s="55"/>
      <c r="U210" s="55"/>
      <c r="V210" s="34">
        <f>231366.45</f>
        <v>231366.45</v>
      </c>
      <c r="W210" s="34"/>
      <c r="X210" s="34"/>
      <c r="Y210" s="34"/>
      <c r="Z210" s="34"/>
      <c r="AA210" s="56">
        <f>2016424.59</f>
        <v>2016424.59</v>
      </c>
      <c r="AB210" s="56"/>
      <c r="AC210" s="56"/>
    </row>
    <row r="211" spans="1:29" s="1" customFormat="1" ht="13.5" customHeight="1">
      <c r="A211" s="31" t="s">
        <v>241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2" t="s">
        <v>242</v>
      </c>
      <c r="N211" s="32"/>
      <c r="O211" s="32"/>
      <c r="P211" s="32" t="s">
        <v>243</v>
      </c>
      <c r="Q211" s="32"/>
      <c r="R211" s="32"/>
      <c r="S211" s="55">
        <f>-71154018.06</f>
        <v>-71154018.06</v>
      </c>
      <c r="T211" s="55"/>
      <c r="U211" s="55"/>
      <c r="V211" s="34">
        <f>-35438779.84</f>
        <v>-35438779.84</v>
      </c>
      <c r="W211" s="34"/>
      <c r="X211" s="34"/>
      <c r="Y211" s="34"/>
      <c r="Z211" s="34"/>
      <c r="AA211" s="57" t="s">
        <v>36</v>
      </c>
      <c r="AB211" s="57"/>
      <c r="AC211" s="57"/>
    </row>
    <row r="212" spans="1:29" s="1" customFormat="1" ht="13.5" customHeight="1">
      <c r="A212" s="31" t="s">
        <v>244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2" t="s">
        <v>245</v>
      </c>
      <c r="N212" s="32"/>
      <c r="O212" s="32"/>
      <c r="P212" s="32" t="s">
        <v>246</v>
      </c>
      <c r="Q212" s="32"/>
      <c r="R212" s="32"/>
      <c r="S212" s="55">
        <f>73401809.1</f>
        <v>73401809.1</v>
      </c>
      <c r="T212" s="55"/>
      <c r="U212" s="55"/>
      <c r="V212" s="34">
        <f>35670146.29</f>
        <v>35670146.29</v>
      </c>
      <c r="W212" s="34"/>
      <c r="X212" s="34"/>
      <c r="Y212" s="34"/>
      <c r="Z212" s="34"/>
      <c r="AA212" s="57" t="s">
        <v>36</v>
      </c>
      <c r="AB212" s="57"/>
      <c r="AC212" s="57"/>
    </row>
    <row r="213" spans="1:29" s="1" customFormat="1" ht="13.5" customHeight="1">
      <c r="A213" s="59" t="s">
        <v>10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s="1" customFormat="1" ht="13.5" customHeight="1">
      <c r="A214" s="7" t="s">
        <v>247</v>
      </c>
      <c r="B214" s="7"/>
      <c r="C214" s="7"/>
      <c r="D214" s="7"/>
      <c r="E214" s="7"/>
      <c r="F214" s="7"/>
      <c r="G214" s="7"/>
      <c r="H214" s="7"/>
      <c r="I214" s="58" t="s">
        <v>10</v>
      </c>
      <c r="J214" s="58"/>
      <c r="K214" s="58"/>
      <c r="L214" s="58"/>
      <c r="M214" s="58"/>
      <c r="N214" s="58"/>
      <c r="O214" s="58"/>
      <c r="P214" s="58" t="s">
        <v>248</v>
      </c>
      <c r="Q214" s="58"/>
      <c r="R214" s="58"/>
      <c r="S214" s="58"/>
      <c r="T214" s="58"/>
      <c r="U214" s="7" t="s">
        <v>10</v>
      </c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7" t="s">
        <v>10</v>
      </c>
      <c r="B215" s="7"/>
      <c r="C215" s="7"/>
      <c r="D215" s="7"/>
      <c r="E215" s="7"/>
      <c r="F215" s="7"/>
      <c r="G215" s="7"/>
      <c r="H215" s="7"/>
      <c r="I215" s="10" t="s">
        <v>10</v>
      </c>
      <c r="J215" s="60" t="s">
        <v>249</v>
      </c>
      <c r="K215" s="60"/>
      <c r="L215" s="60"/>
      <c r="M215" s="60"/>
      <c r="N215" s="7" t="s">
        <v>10</v>
      </c>
      <c r="O215" s="7"/>
      <c r="P215" s="10" t="s">
        <v>10</v>
      </c>
      <c r="Q215" s="60" t="s">
        <v>250</v>
      </c>
      <c r="R215" s="60"/>
      <c r="S215" s="60"/>
      <c r="T215" s="7" t="s">
        <v>10</v>
      </c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s="1" customFormat="1" ht="7.5" customHeight="1">
      <c r="A216" s="7" t="s">
        <v>10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s="1" customFormat="1" ht="13.5" customHeight="1">
      <c r="A217" s="7" t="s">
        <v>251</v>
      </c>
      <c r="B217" s="7"/>
      <c r="C217" s="7"/>
      <c r="D217" s="7"/>
      <c r="E217" s="7"/>
      <c r="F217" s="7"/>
      <c r="G217" s="7"/>
      <c r="H217" s="7"/>
      <c r="I217" s="58" t="s">
        <v>10</v>
      </c>
      <c r="J217" s="58"/>
      <c r="K217" s="58"/>
      <c r="L217" s="58"/>
      <c r="M217" s="58"/>
      <c r="N217" s="58"/>
      <c r="O217" s="58"/>
      <c r="P217" s="58" t="s">
        <v>252</v>
      </c>
      <c r="Q217" s="58"/>
      <c r="R217" s="58"/>
      <c r="S217" s="58"/>
      <c r="T217" s="58"/>
      <c r="U217" s="7" t="s">
        <v>10</v>
      </c>
      <c r="V217" s="7"/>
      <c r="W217" s="7"/>
      <c r="X217" s="7"/>
      <c r="Y217" s="7"/>
      <c r="Z217" s="7"/>
      <c r="AA217" s="7"/>
      <c r="AB217" s="7"/>
      <c r="AC217" s="7"/>
    </row>
    <row r="218" spans="1:29" s="1" customFormat="1" ht="13.5" customHeight="1">
      <c r="A218" s="7" t="s">
        <v>10</v>
      </c>
      <c r="B218" s="7"/>
      <c r="C218" s="7"/>
      <c r="D218" s="7"/>
      <c r="E218" s="7"/>
      <c r="F218" s="7"/>
      <c r="G218" s="7"/>
      <c r="H218" s="7"/>
      <c r="I218" s="10" t="s">
        <v>10</v>
      </c>
      <c r="J218" s="60" t="s">
        <v>249</v>
      </c>
      <c r="K218" s="60"/>
      <c r="L218" s="60"/>
      <c r="M218" s="60"/>
      <c r="N218" s="7" t="s">
        <v>10</v>
      </c>
      <c r="O218" s="7"/>
      <c r="P218" s="10" t="s">
        <v>10</v>
      </c>
      <c r="Q218" s="60" t="s">
        <v>250</v>
      </c>
      <c r="R218" s="60"/>
      <c r="S218" s="60"/>
      <c r="T218" s="7" t="s">
        <v>10</v>
      </c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s="1" customFormat="1" ht="7.5" customHeight="1">
      <c r="A219" s="7" t="s">
        <v>10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s="1" customFormat="1" ht="13.5" customHeight="1">
      <c r="A220" s="7" t="s">
        <v>253</v>
      </c>
      <c r="B220" s="7"/>
      <c r="C220" s="58" t="s">
        <v>254</v>
      </c>
      <c r="D220" s="58"/>
      <c r="E220" s="58"/>
      <c r="F220" s="58"/>
      <c r="G220" s="58"/>
      <c r="H220" s="58"/>
      <c r="I220" s="58" t="s">
        <v>10</v>
      </c>
      <c r="J220" s="58"/>
      <c r="K220" s="58"/>
      <c r="L220" s="58"/>
      <c r="M220" s="58"/>
      <c r="N220" s="58"/>
      <c r="O220" s="58"/>
      <c r="P220" s="58" t="s">
        <v>255</v>
      </c>
      <c r="Q220" s="58"/>
      <c r="R220" s="58"/>
      <c r="S220" s="58"/>
      <c r="T220" s="58"/>
      <c r="U220" s="7" t="s">
        <v>10</v>
      </c>
      <c r="V220" s="7"/>
      <c r="W220" s="7"/>
      <c r="X220" s="7"/>
      <c r="Y220" s="7"/>
      <c r="Z220" s="7"/>
      <c r="AA220" s="7"/>
      <c r="AB220" s="7"/>
      <c r="AC220" s="7"/>
    </row>
    <row r="221" spans="1:29" s="1" customFormat="1" ht="13.5" customHeight="1">
      <c r="A221" s="7" t="s">
        <v>10</v>
      </c>
      <c r="B221" s="7"/>
      <c r="C221" s="10" t="s">
        <v>10</v>
      </c>
      <c r="D221" s="60" t="s">
        <v>256</v>
      </c>
      <c r="E221" s="60"/>
      <c r="F221" s="60"/>
      <c r="G221" s="60"/>
      <c r="H221" s="10" t="s">
        <v>10</v>
      </c>
      <c r="I221" s="10" t="s">
        <v>10</v>
      </c>
      <c r="J221" s="60" t="s">
        <v>249</v>
      </c>
      <c r="K221" s="60"/>
      <c r="L221" s="60"/>
      <c r="M221" s="60"/>
      <c r="N221" s="7" t="s">
        <v>10</v>
      </c>
      <c r="O221" s="7"/>
      <c r="P221" s="10" t="s">
        <v>10</v>
      </c>
      <c r="Q221" s="60" t="s">
        <v>250</v>
      </c>
      <c r="R221" s="60"/>
      <c r="S221" s="60"/>
      <c r="T221" s="7" t="s">
        <v>10</v>
      </c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s="1" customFormat="1" ht="15.75" customHeight="1">
      <c r="A222" s="7" t="s">
        <v>10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s="1" customFormat="1" ht="13.5" customHeight="1">
      <c r="A223" s="61" t="s">
        <v>257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7" t="s">
        <v>10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s="1" customFormat="1" ht="13.5" customHeight="1">
      <c r="A224" s="4" t="s">
        <v>258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</sheetData>
  <sheetProtection/>
  <mergeCells count="1408">
    <mergeCell ref="A222:AC222"/>
    <mergeCell ref="A223:J223"/>
    <mergeCell ref="K223:AC223"/>
    <mergeCell ref="A224:AC224"/>
    <mergeCell ref="A221:B221"/>
    <mergeCell ref="D221:G221"/>
    <mergeCell ref="J221:M221"/>
    <mergeCell ref="N221:O221"/>
    <mergeCell ref="Q221:S221"/>
    <mergeCell ref="T221:AC221"/>
    <mergeCell ref="A219:AC219"/>
    <mergeCell ref="A220:B220"/>
    <mergeCell ref="C220:H220"/>
    <mergeCell ref="I220:O220"/>
    <mergeCell ref="P220:T220"/>
    <mergeCell ref="U220:AC220"/>
    <mergeCell ref="A216:AC216"/>
    <mergeCell ref="A217:H217"/>
    <mergeCell ref="I217:O217"/>
    <mergeCell ref="P217:T217"/>
    <mergeCell ref="U217:AC217"/>
    <mergeCell ref="A218:H218"/>
    <mergeCell ref="J218:M218"/>
    <mergeCell ref="N218:O218"/>
    <mergeCell ref="Q218:S218"/>
    <mergeCell ref="T218:AC218"/>
    <mergeCell ref="A213:AC213"/>
    <mergeCell ref="A214:H214"/>
    <mergeCell ref="I214:O214"/>
    <mergeCell ref="P214:T214"/>
    <mergeCell ref="U214:AC214"/>
    <mergeCell ref="A215:H215"/>
    <mergeCell ref="J215:M215"/>
    <mergeCell ref="N215:O215"/>
    <mergeCell ref="Q215:S215"/>
    <mergeCell ref="T215:AC215"/>
    <mergeCell ref="A212:L212"/>
    <mergeCell ref="M212:O212"/>
    <mergeCell ref="P212:R212"/>
    <mergeCell ref="S212:U212"/>
    <mergeCell ref="V212:Z212"/>
    <mergeCell ref="AA212:AC212"/>
    <mergeCell ref="A211:L211"/>
    <mergeCell ref="M211:O211"/>
    <mergeCell ref="P211:R211"/>
    <mergeCell ref="S211:U211"/>
    <mergeCell ref="V211:Z211"/>
    <mergeCell ref="AA211:AC211"/>
    <mergeCell ref="A210:L210"/>
    <mergeCell ref="M210:O210"/>
    <mergeCell ref="P210:R210"/>
    <mergeCell ref="S210:U210"/>
    <mergeCell ref="V210:Z210"/>
    <mergeCell ref="AA210:AC210"/>
    <mergeCell ref="A209:L209"/>
    <mergeCell ref="M209:O209"/>
    <mergeCell ref="P209:R209"/>
    <mergeCell ref="S209:U209"/>
    <mergeCell ref="V209:Z209"/>
    <mergeCell ref="AA209:AC209"/>
    <mergeCell ref="A208:L208"/>
    <mergeCell ref="M208:O208"/>
    <mergeCell ref="P208:R208"/>
    <mergeCell ref="S208:U208"/>
    <mergeCell ref="V208:Z208"/>
    <mergeCell ref="AA208:AC208"/>
    <mergeCell ref="A207:L207"/>
    <mergeCell ref="M207:O207"/>
    <mergeCell ref="P207:R207"/>
    <mergeCell ref="S207:U207"/>
    <mergeCell ref="V207:Z207"/>
    <mergeCell ref="AA207:AC207"/>
    <mergeCell ref="A206:L206"/>
    <mergeCell ref="M206:O206"/>
    <mergeCell ref="P206:R206"/>
    <mergeCell ref="S206:U206"/>
    <mergeCell ref="V206:Z206"/>
    <mergeCell ref="AA206:AC206"/>
    <mergeCell ref="A205:L205"/>
    <mergeCell ref="M205:O205"/>
    <mergeCell ref="P205:R205"/>
    <mergeCell ref="S205:U205"/>
    <mergeCell ref="V205:Z205"/>
    <mergeCell ref="AA205:AC205"/>
    <mergeCell ref="A204:L204"/>
    <mergeCell ref="M204:O204"/>
    <mergeCell ref="P204:R204"/>
    <mergeCell ref="S204:U204"/>
    <mergeCell ref="V204:Z204"/>
    <mergeCell ref="AA204:AC204"/>
    <mergeCell ref="A203:L203"/>
    <mergeCell ref="M203:O203"/>
    <mergeCell ref="P203:R203"/>
    <mergeCell ref="S203:U203"/>
    <mergeCell ref="V203:Z203"/>
    <mergeCell ref="AA203:AC203"/>
    <mergeCell ref="AB199:AC199"/>
    <mergeCell ref="A200:AC200"/>
    <mergeCell ref="A201:AC201"/>
    <mergeCell ref="A202:L202"/>
    <mergeCell ref="M202:O202"/>
    <mergeCell ref="P202:R202"/>
    <mergeCell ref="S202:U202"/>
    <mergeCell ref="V202:Z202"/>
    <mergeCell ref="AA202:AC202"/>
    <mergeCell ref="A199:K199"/>
    <mergeCell ref="L199:N199"/>
    <mergeCell ref="O199:Q199"/>
    <mergeCell ref="R199:S199"/>
    <mergeCell ref="T199:V199"/>
    <mergeCell ref="W199:AA199"/>
    <mergeCell ref="AB197:AC197"/>
    <mergeCell ref="A198:K198"/>
    <mergeCell ref="L198:N198"/>
    <mergeCell ref="O198:Q198"/>
    <mergeCell ref="R198:S198"/>
    <mergeCell ref="T198:V198"/>
    <mergeCell ref="W198:AA198"/>
    <mergeCell ref="AB198:AC198"/>
    <mergeCell ref="A197:K197"/>
    <mergeCell ref="L197:N197"/>
    <mergeCell ref="O197:Q197"/>
    <mergeCell ref="R197:S197"/>
    <mergeCell ref="T197:V197"/>
    <mergeCell ref="W197:AA197"/>
    <mergeCell ref="AB195:AC195"/>
    <mergeCell ref="A196:K196"/>
    <mergeCell ref="L196:N196"/>
    <mergeCell ref="O196:Q196"/>
    <mergeCell ref="R196:S196"/>
    <mergeCell ref="T196:V196"/>
    <mergeCell ref="W196:AA196"/>
    <mergeCell ref="AB196:AC196"/>
    <mergeCell ref="A195:K195"/>
    <mergeCell ref="L195:N195"/>
    <mergeCell ref="O195:Q195"/>
    <mergeCell ref="R195:S195"/>
    <mergeCell ref="T195:V195"/>
    <mergeCell ref="W195:AA195"/>
    <mergeCell ref="AB193:AC193"/>
    <mergeCell ref="A194:K194"/>
    <mergeCell ref="L194:N194"/>
    <mergeCell ref="O194:Q194"/>
    <mergeCell ref="R194:S194"/>
    <mergeCell ref="T194:V194"/>
    <mergeCell ref="W194:AA194"/>
    <mergeCell ref="AB194:AC194"/>
    <mergeCell ref="A193:K193"/>
    <mergeCell ref="L193:N193"/>
    <mergeCell ref="O193:Q193"/>
    <mergeCell ref="R193:S193"/>
    <mergeCell ref="T193:V193"/>
    <mergeCell ref="W193:AA193"/>
    <mergeCell ref="AB191:AC191"/>
    <mergeCell ref="A192:K192"/>
    <mergeCell ref="L192:N192"/>
    <mergeCell ref="O192:Q192"/>
    <mergeCell ref="R192:S192"/>
    <mergeCell ref="T192:V192"/>
    <mergeCell ref="W192:AA192"/>
    <mergeCell ref="AB192:AC192"/>
    <mergeCell ref="A191:K191"/>
    <mergeCell ref="L191:N191"/>
    <mergeCell ref="O191:Q191"/>
    <mergeCell ref="R191:S191"/>
    <mergeCell ref="T191:V191"/>
    <mergeCell ref="W191:AA191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2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2018-10-16T03:47:51Z</dcterms:created>
  <dcterms:modified xsi:type="dcterms:W3CDTF">2018-10-16T03:47:51Z</dcterms:modified>
  <cp:category/>
  <cp:version/>
  <cp:contentType/>
  <cp:contentStatus/>
</cp:coreProperties>
</file>