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<sst xmlns="http://schemas.openxmlformats.org/spreadsheetml/2006/main" count="860" uniqueCount="261">
  <si>
    <t>ОТЧЕТ ОБ ИСПОЛНЕНИИ БЮДЖЕТА</t>
  </si>
  <si>
    <t>КОДЫ</t>
  </si>
  <si>
    <t xml:space="preserve">Форма по ОКУД </t>
  </si>
  <si>
    <t>0503117</t>
  </si>
  <si>
    <t>на 1 октября 2019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</si>
  <si>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</si>
  <si>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</si>
  <si>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</si>
  <si>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</si>
  <si>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</si>
  <si>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</si>
  <si>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</si>
  <si>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</si>
  <si>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</si>
  <si>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</si>
  <si>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</si>
  <si>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</si>
  <si>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</si>
  <si>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</si>
  <si>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</si>
  <si>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</si>
  <si>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</si>
  <si>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</si>
  <si>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</si>
  <si>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</si>
  <si>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</si>
  <si>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</si>
  <si>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</si>
  <si>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</si>
  <si>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</si>
  <si>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</si>
  <si>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</si>
  <si>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</si>
  <si>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</si>
  <si>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</si>
  <si>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</si>
  <si>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</si>
  <si>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</si>
  <si>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</si>
  <si>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</si>
  <si>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</si>
  <si>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</si>
  <si>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</si>
  <si>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</si>
  <si>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</si>
  <si>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</si>
  <si>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</si>
  <si>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</si>
  <si>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</si>
  <si>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</si>
  <si>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</si>
  <si>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</si>
  <si>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</si>
  <si>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</si>
  <si>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</si>
  <si>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</si>
  <si>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</si>
  <si>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</si>
  <si>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</si>
  <si>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</si>
  <si>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</si>
  <si>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</si>
  <si>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</si>
  <si>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</si>
  <si>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</si>
  <si>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</si>
  <si>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</si>
  <si>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</si>
  <si>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</si>
  <si>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</si>
  <si>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</si>
  <si>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</si>
  <si>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</si>
  <si>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</si>
  <si>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</si>
  <si>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</si>
  <si>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</si>
  <si>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</si>
  <si>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</si>
  <si>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</si>
  <si>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</si>
  <si>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</si>
  <si>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</si>
  <si>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</si>
  <si>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</si>
  <si>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</si>
  <si>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</si>
  <si>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</si>
  <si>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</si>
  <si>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</si>
  <si>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</si>
  <si>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</si>
  <si>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</si>
  <si>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</si>
  <si>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</si>
  <si>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</si>
  <si>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</si>
  <si>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</si>
  <si>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</si>
  <si>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</si>
  <si>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650 0104 6000002040 122</t>
  </si>
  <si>
    <t>212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</si>
  <si>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</si>
  <si>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</si>
  <si>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</si>
  <si>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</si>
  <si>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</si>
  <si>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</si>
  <si>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Расходы</t>
  </si>
  <si>
    <t>650 0111 6000007050 870</t>
  </si>
  <si>
    <t>650 0113 0200092400 122</t>
  </si>
  <si>
    <t>650 0113 0200092400 244</t>
  </si>
  <si>
    <t>650 0113 6000000590 111</t>
  </si>
  <si>
    <t>650 0113 6000000590 112</t>
  </si>
  <si>
    <t>650 0113 6000000590 119</t>
  </si>
  <si>
    <t>Услуги связи</t>
  </si>
  <si>
    <t>650 0113 6000000590 244</t>
  </si>
  <si>
    <t>221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</si>
  <si>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</si>
  <si>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</si>
  <si>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</si>
  <si>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</si>
  <si>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</si>
  <si>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</si>
  <si>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</si>
  <si>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</si>
  <si>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Прочие несоциальные выплаты персоналу в натуральной форме</t>
  </si>
  <si>
    <t>650 0113 6000002400 122</t>
  </si>
  <si>
    <t>214</t>
  </si>
  <si>
    <t>Социальные компенсации персоналу в натуральной форме</t>
  </si>
  <si>
    <t>267</t>
  </si>
  <si>
    <t>650 0113 6000002400 244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</si>
  <si>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</si>
  <si>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</si>
  <si>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</si>
  <si>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</si>
  <si>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</si>
  <si>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</si>
  <si>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</si>
  <si>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</si>
  <si>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основных средств</t>
  </si>
  <si>
    <t>310</t>
  </si>
  <si>
    <t>Увеличение стоимости мягкого инвентаря</t>
  </si>
  <si>
    <t>345</t>
  </si>
  <si>
    <t>Налоги, пошлины и сборы</t>
  </si>
  <si>
    <t>650 0113 6000002400 851</t>
  </si>
  <si>
    <t>291</t>
  </si>
  <si>
    <t>650 0113 6000002400 852</t>
  </si>
  <si>
    <t>Другие экономические санкции</t>
  </si>
  <si>
    <t>650 0113 6000002400 853</t>
  </si>
  <si>
    <t>295</t>
  </si>
  <si>
    <t>650 0113 6000075150 111</t>
  </si>
  <si>
    <t>650 0113 6000075150 119</t>
  </si>
  <si>
    <t>650 0203 6000051180 121</t>
  </si>
  <si>
    <t>650 0203 6000051180 122</t>
  </si>
  <si>
    <t>650 0203 6000051180 129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</si>
  <si>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</si>
  <si>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</si>
  <si>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</si>
  <si>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</si>
  <si>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</si>
  <si>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</si>
  <si>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650 0314 0110192400 244</t>
  </si>
  <si>
    <t>650 0314 0110292400 244</t>
  </si>
  <si>
    <t>650 0314 0120182300 123</t>
  </si>
  <si>
    <t>650 0314 0120192300 123</t>
  </si>
  <si>
    <t>650 0314 01201S2300 123</t>
  </si>
  <si>
    <t>650 0314 0720192400 244</t>
  </si>
  <si>
    <t>650 0314 6000082630 244</t>
  </si>
  <si>
    <t>650 0314 60000S2630 244</t>
  </si>
  <si>
    <t>650 0401 6000085060 111</t>
  </si>
  <si>
    <t>650 0401 6000085060 119</t>
  </si>
  <si>
    <t>650 0401 6000095060 111</t>
  </si>
  <si>
    <t>650 0401 6000095060 119</t>
  </si>
  <si>
    <t>650 0401 60000S5060 111</t>
  </si>
  <si>
    <t>650 0401 60000S5060 119</t>
  </si>
  <si>
    <t>650 0409 0410092400 244</t>
  </si>
  <si>
    <t>650 0409 0420092400 244</t>
  </si>
  <si>
    <t>650 0409 0430092400 244</t>
  </si>
  <si>
    <t>650 0409 0440094190 540</t>
  </si>
  <si>
    <t>650 0410 0300092400 242</t>
  </si>
  <si>
    <t>650 0410 6000000590 242</t>
  </si>
  <si>
    <t>650 0410 6000002400 242</t>
  </si>
  <si>
    <t>650 0501 0500192400 244</t>
  </si>
  <si>
    <t>650 0501 0500492400 244</t>
  </si>
  <si>
    <t>650 0501 0500500590 244</t>
  </si>
  <si>
    <t>650 0501 0500592400 244</t>
  </si>
  <si>
    <t>650 0501 0500692400 244</t>
  </si>
  <si>
    <t>650 0503 0810196100 244</t>
  </si>
  <si>
    <t>650 0503 0810300590 244</t>
  </si>
  <si>
    <t>650 0503 0810378800 244</t>
  </si>
  <si>
    <t>650 0503 0820200590 244</t>
  </si>
  <si>
    <t>650 0503 0820296400 244</t>
  </si>
  <si>
    <t>650 0503 0830100590 244</t>
  </si>
  <si>
    <t>650 0503 0850100590 244</t>
  </si>
  <si>
    <t>650 0503 0850196500 244</t>
  </si>
  <si>
    <t>650 0503 0850370990 244</t>
  </si>
  <si>
    <t>650 0505 6000002040 540</t>
  </si>
  <si>
    <t>650 0605 6000084290 121</t>
  </si>
  <si>
    <t>650 0605 6000084290 129</t>
  </si>
  <si>
    <t>650 0707 6000000540 540</t>
  </si>
  <si>
    <t>650 0707 6000075150 540</t>
  </si>
  <si>
    <t>650 0801 0911200590 244</t>
  </si>
  <si>
    <t>650 0801 0911300590 244</t>
  </si>
  <si>
    <t>650 0801 0912100590 244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</si>
  <si>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</si>
  <si>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</si>
  <si>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</si>
  <si>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</si>
  <si>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</si>
  <si>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</si>
  <si>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</si>
  <si>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</si>
  <si>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</si>
  <si>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</si>
  <si>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650 0801 0913100590 852</t>
  </si>
  <si>
    <t>Штрафы за нарушение законодательства о налогах и сборах, законодательства о страховых взносах</t>
  </si>
  <si>
    <t>650 0801 0913100590 853</t>
  </si>
  <si>
    <t>292</t>
  </si>
  <si>
    <t>650 0801 0913272580 111</t>
  </si>
  <si>
    <t>650 0801 0913272580 119</t>
  </si>
  <si>
    <t>650 0801 0913375150 111</t>
  </si>
  <si>
    <t>650 0801 0913375150 119</t>
  </si>
  <si>
    <t>650 0801 0921100590 244</t>
  </si>
  <si>
    <t>650 0801 0921200590 244</t>
  </si>
  <si>
    <t>Увеличение стоимости продуктов питания</t>
  </si>
  <si>
    <t>342</t>
  </si>
  <si>
    <t>Пенсии, пособия, выплачиваемые работодателями, нанимателями бывшим работникам</t>
  </si>
  <si>
    <t>650 1001 6000000220 321</t>
  </si>
  <si>
    <t>264</t>
  </si>
  <si>
    <t>650 1101 6000000040 244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</si>
  <si>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</si>
  <si>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</si>
  <si>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</si>
  <si>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</si>
  <si>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</si>
  <si>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</si>
  <si>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</si>
  <si>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</si>
  <si>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</si>
  <si>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</si>
  <si>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</si>
  <si>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</si>
  <si>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</si>
  <si>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</si>
  <si>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</si>
  <si>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</si>
  <si>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</si>
  <si>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</si>
  <si>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</si>
  <si>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</si>
  <si>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</si>
  <si>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</si>
  <si>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</si>
  <si>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</si>
  <si>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</si>
  <si>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</si>
  <si>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</si>
  <si>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</si>
  <si>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17 октября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</si>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</sst>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20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43739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46444249.97</f>
        <v>46444249.97</v>
      </c>
      <c r="T12" s="21"/>
      <c r="U12" s="21"/>
      <c r="V12" s="21">
        <f>35020686.55</f>
        <v>35020686.55</v>
      </c>
      <c r="W12" s="21"/>
      <c r="X12" s="21"/>
      <c r="Y12" s="21"/>
      <c r="Z12" s="21"/>
      <c r="AA12" s="22">
        <f>11423563.42</f>
        <v>11423563.42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100000</f>
        <v>100000</v>
      </c>
      <c r="T13" s="25"/>
      <c r="U13" s="25"/>
      <c r="V13" s="25">
        <f>97447.92</f>
        <v>97447.92</v>
      </c>
      <c r="W13" s="25"/>
      <c r="X13" s="25"/>
      <c r="Y13" s="25"/>
      <c r="Z13" s="25"/>
      <c r="AA13" s="26">
        <f>2552.08</f>
        <v>2552.08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48727.83</f>
        <v>48727.83</v>
      </c>
      <c r="W14" s="25"/>
      <c r="X14" s="25"/>
      <c r="Y14" s="25"/>
      <c r="Z14" s="25"/>
      <c r="AA14" s="26">
        <f>1272.17</f>
        <v>1272.17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1520752.49</f>
        <v>1520752.49</v>
      </c>
      <c r="W15" s="25"/>
      <c r="X15" s="25"/>
      <c r="Y15" s="25"/>
      <c r="Z15" s="25"/>
      <c r="AA15" s="26">
        <f>556639.68</f>
        <v>556639.68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11561.73</f>
        <v>11561.73</v>
      </c>
      <c r="W16" s="25"/>
      <c r="X16" s="25"/>
      <c r="Y16" s="25"/>
      <c r="Z16" s="25"/>
      <c r="AA16" s="27" t="s">
        <v>45</v>
      </c>
      <c r="AB16" s="27"/>
      <c r="AC16" s="27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2782677.96</f>
        <v>2782677.96</v>
      </c>
      <c r="T17" s="25"/>
      <c r="U17" s="25"/>
      <c r="V17" s="25">
        <f>2084328.69</f>
        <v>2084328.69</v>
      </c>
      <c r="W17" s="25"/>
      <c r="X17" s="25"/>
      <c r="Y17" s="25"/>
      <c r="Z17" s="25"/>
      <c r="AA17" s="26">
        <f>698349.27</f>
        <v>698349.27</v>
      </c>
      <c r="AB17" s="26"/>
      <c r="AC17" s="26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-323144.74</f>
        <v>-323144.74</v>
      </c>
      <c r="T18" s="25"/>
      <c r="U18" s="25"/>
      <c r="V18" s="25">
        <f>-257204.9</f>
        <v>-257204.9</v>
      </c>
      <c r="W18" s="25"/>
      <c r="X18" s="25"/>
      <c r="Y18" s="25"/>
      <c r="Z18" s="25"/>
      <c r="AA18" s="26">
        <f>-65939.84</f>
        <v>-65939.84</v>
      </c>
      <c r="AB18" s="26"/>
      <c r="AC18" s="26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4818000</f>
        <v>4818000</v>
      </c>
      <c r="T19" s="25"/>
      <c r="U19" s="25"/>
      <c r="V19" s="25">
        <f>3687158.56</f>
        <v>3687158.56</v>
      </c>
      <c r="W19" s="25"/>
      <c r="X19" s="25"/>
      <c r="Y19" s="25"/>
      <c r="Z19" s="25"/>
      <c r="AA19" s="26">
        <f>1130841.44</f>
        <v>1130841.44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800</f>
        <v>800</v>
      </c>
      <c r="T20" s="25"/>
      <c r="U20" s="25"/>
      <c r="V20" s="25">
        <f>688.42</f>
        <v>688.42</v>
      </c>
      <c r="W20" s="25"/>
      <c r="X20" s="25"/>
      <c r="Y20" s="25"/>
      <c r="Z20" s="25"/>
      <c r="AA20" s="26">
        <f>111.58</f>
        <v>111.58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355549.06</f>
        <v>355549.06</v>
      </c>
      <c r="T21" s="25"/>
      <c r="U21" s="25"/>
      <c r="V21" s="25">
        <f>269109.05</f>
        <v>269109.05</v>
      </c>
      <c r="W21" s="25"/>
      <c r="X21" s="25"/>
      <c r="Y21" s="25"/>
      <c r="Z21" s="25"/>
      <c r="AA21" s="26">
        <f>86440.01</f>
        <v>86440.01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82951.08</f>
        <v>82951.08</v>
      </c>
      <c r="W22" s="25"/>
      <c r="X22" s="25"/>
      <c r="Y22" s="25"/>
      <c r="Z22" s="25"/>
      <c r="AA22" s="26">
        <f>119048.92</f>
        <v>119048.92</v>
      </c>
      <c r="AB22" s="26"/>
      <c r="AC22" s="26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300000</f>
        <v>300000</v>
      </c>
      <c r="T23" s="25"/>
      <c r="U23" s="25"/>
      <c r="V23" s="25">
        <f>209643.17</f>
        <v>209643.17</v>
      </c>
      <c r="W23" s="25"/>
      <c r="X23" s="25"/>
      <c r="Y23" s="25"/>
      <c r="Z23" s="25"/>
      <c r="AA23" s="26">
        <f>90356.83</f>
        <v>90356.83</v>
      </c>
      <c r="AB23" s="26"/>
      <c r="AC23" s="26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160000</f>
        <v>160000</v>
      </c>
      <c r="T24" s="25"/>
      <c r="U24" s="25"/>
      <c r="V24" s="25">
        <f>34354.17</f>
        <v>34354.17</v>
      </c>
      <c r="W24" s="25"/>
      <c r="X24" s="25"/>
      <c r="Y24" s="25"/>
      <c r="Z24" s="25"/>
      <c r="AA24" s="26">
        <f>125645.83</f>
        <v>125645.83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50000</f>
        <v>50000</v>
      </c>
      <c r="T25" s="25"/>
      <c r="U25" s="25"/>
      <c r="V25" s="25">
        <f>34700</f>
        <v>34700</v>
      </c>
      <c r="W25" s="25"/>
      <c r="X25" s="25"/>
      <c r="Y25" s="25"/>
      <c r="Z25" s="25"/>
      <c r="AA25" s="26">
        <f>15300</f>
        <v>15300</v>
      </c>
      <c r="AB25" s="26"/>
      <c r="AC25" s="26"/>
    </row>
    <row r="26" spans="1:29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25818</f>
        <v>25818</v>
      </c>
      <c r="T26" s="25"/>
      <c r="U26" s="25"/>
      <c r="V26" s="25">
        <f>8606</f>
        <v>8606</v>
      </c>
      <c r="W26" s="25"/>
      <c r="X26" s="25"/>
      <c r="Y26" s="25"/>
      <c r="Z26" s="25"/>
      <c r="AA26" s="26">
        <f>17212</f>
        <v>17212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820875.38</f>
        <v>820875.38</v>
      </c>
      <c r="T27" s="25"/>
      <c r="U27" s="25"/>
      <c r="V27" s="25">
        <f>588182.91</f>
        <v>588182.91</v>
      </c>
      <c r="W27" s="25"/>
      <c r="X27" s="25"/>
      <c r="Y27" s="25"/>
      <c r="Z27" s="25"/>
      <c r="AA27" s="26">
        <f>232692.47</f>
        <v>232692.47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292540</f>
        <v>292540</v>
      </c>
      <c r="T28" s="25"/>
      <c r="U28" s="25"/>
      <c r="V28" s="25">
        <f>236500</f>
        <v>236500</v>
      </c>
      <c r="W28" s="25"/>
      <c r="X28" s="25"/>
      <c r="Y28" s="25"/>
      <c r="Z28" s="25"/>
      <c r="AA28" s="26">
        <f>56040</f>
        <v>56040</v>
      </c>
      <c r="AB28" s="26"/>
      <c r="AC28" s="26"/>
    </row>
    <row r="29" spans="1:29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241217.6</f>
        <v>241217.6</v>
      </c>
      <c r="T29" s="25"/>
      <c r="U29" s="25"/>
      <c r="V29" s="25">
        <f>241217.59</f>
        <v>241217.59</v>
      </c>
      <c r="W29" s="25"/>
      <c r="X29" s="25"/>
      <c r="Y29" s="25"/>
      <c r="Z29" s="25"/>
      <c r="AA29" s="26">
        <f>0.01</f>
        <v>0.01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26889100</f>
        <v>26889100</v>
      </c>
      <c r="T30" s="25"/>
      <c r="U30" s="25"/>
      <c r="V30" s="25">
        <f>20703081.86</f>
        <v>20703081.86</v>
      </c>
      <c r="W30" s="25"/>
      <c r="X30" s="25"/>
      <c r="Y30" s="25"/>
      <c r="Z30" s="25"/>
      <c r="AA30" s="26">
        <f>6186018.14</f>
        <v>6186018.14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2018.72</f>
        <v>2018.72</v>
      </c>
      <c r="T31" s="25"/>
      <c r="U31" s="25"/>
      <c r="V31" s="25">
        <f>2018.72</f>
        <v>2018.72</v>
      </c>
      <c r="W31" s="25"/>
      <c r="X31" s="25"/>
      <c r="Y31" s="25"/>
      <c r="Z31" s="25"/>
      <c r="AA31" s="26">
        <f>0</f>
        <v>0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435500</f>
        <v>435500</v>
      </c>
      <c r="T32" s="25"/>
      <c r="U32" s="25"/>
      <c r="V32" s="25">
        <f>339746.65</f>
        <v>339746.65</v>
      </c>
      <c r="W32" s="25"/>
      <c r="X32" s="25"/>
      <c r="Y32" s="25"/>
      <c r="Z32" s="25"/>
      <c r="AA32" s="26">
        <f>95753.35</f>
        <v>95753.35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79918.87</f>
        <v>79918.87</v>
      </c>
      <c r="T33" s="25"/>
      <c r="U33" s="25"/>
      <c r="V33" s="25">
        <f>56055.61</f>
        <v>56055.61</v>
      </c>
      <c r="W33" s="25"/>
      <c r="X33" s="25"/>
      <c r="Y33" s="25"/>
      <c r="Z33" s="25"/>
      <c r="AA33" s="26">
        <f>23863.26</f>
        <v>23863.26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6827758.87</f>
        <v>6827758.87</v>
      </c>
      <c r="T34" s="25"/>
      <c r="U34" s="25"/>
      <c r="V34" s="25">
        <f>4776059</f>
        <v>4776059</v>
      </c>
      <c r="W34" s="25"/>
      <c r="X34" s="25"/>
      <c r="Y34" s="25"/>
      <c r="Z34" s="25"/>
      <c r="AA34" s="26">
        <f>2051699.87</f>
        <v>2051699.87</v>
      </c>
      <c r="AB34" s="26"/>
      <c r="AC34" s="26"/>
    </row>
    <row r="35" spans="1:29" s="1" customFormat="1" ht="13.5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245000</f>
        <v>245000</v>
      </c>
      <c r="T35" s="25"/>
      <c r="U35" s="25"/>
      <c r="V35" s="25">
        <f>245000</f>
        <v>245000</v>
      </c>
      <c r="W35" s="25"/>
      <c r="X35" s="25"/>
      <c r="Y35" s="25"/>
      <c r="Z35" s="25"/>
      <c r="AA35" s="26">
        <f>0</f>
        <v>0</v>
      </c>
      <c r="AB35" s="26"/>
      <c r="AC35" s="26"/>
    </row>
    <row r="36" spans="1:29" s="1" customFormat="1" ht="13.5" customHeight="1">
      <c r="A36" s="28" t="s">
        <v>10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1" customFormat="1" ht="13.5" customHeight="1">
      <c r="A37" s="12" t="s">
        <v>84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spans="1:29" s="1" customFormat="1" ht="34.5" customHeight="1">
      <c r="A38" s="13" t="s">
        <v>22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 t="s">
        <v>23</v>
      </c>
      <c r="M38" s="13"/>
      <c r="N38" s="13"/>
      <c r="O38" s="13" t="s">
        <v>85</v>
      </c>
      <c r="P38" s="13"/>
      <c r="Q38" s="13"/>
      <c r="R38" s="14" t="s">
        <v>86</v>
      </c>
      <c r="S38" s="14"/>
      <c r="T38" s="14" t="s">
        <v>25</v>
      </c>
      <c r="U38" s="14"/>
      <c r="V38" s="14"/>
      <c r="W38" s="14" t="s">
        <v>26</v>
      </c>
      <c r="X38" s="14"/>
      <c r="Y38" s="14"/>
      <c r="Z38" s="14"/>
      <c r="AA38" s="14"/>
      <c r="AB38" s="15" t="s">
        <v>27</v>
      </c>
      <c r="AC38" s="15"/>
    </row>
    <row r="39" spans="1:29" s="1" customFormat="1" ht="13.5" customHeight="1">
      <c r="A39" s="16" t="s">
        <v>28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 t="s">
        <v>29</v>
      </c>
      <c r="M39" s="16"/>
      <c r="N39" s="16"/>
      <c r="O39" s="16" t="s">
        <v>30</v>
      </c>
      <c r="P39" s="16"/>
      <c r="Q39" s="16"/>
      <c r="R39" s="17" t="s">
        <v>31</v>
      </c>
      <c r="S39" s="17"/>
      <c r="T39" s="17" t="s">
        <v>32</v>
      </c>
      <c r="U39" s="17"/>
      <c r="V39" s="17"/>
      <c r="W39" s="17" t="s">
        <v>33</v>
      </c>
      <c r="X39" s="17"/>
      <c r="Y39" s="17"/>
      <c r="Z39" s="17"/>
      <c r="AA39" s="17"/>
      <c r="AB39" s="18" t="s">
        <v>87</v>
      </c>
      <c r="AC39" s="18"/>
    </row>
    <row r="40" spans="1:29" s="1" customFormat="1" ht="13.5" customHeight="1">
      <c r="A40" s="19" t="s">
        <v>88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0" t="s">
        <v>89</v>
      </c>
      <c r="M40" s="20"/>
      <c r="N40" s="20"/>
      <c r="O40" s="20" t="s">
        <v>36</v>
      </c>
      <c r="P40" s="20"/>
      <c r="Q40" s="20"/>
      <c r="R40" s="29" t="s">
        <v>36</v>
      </c>
      <c r="S40" s="29"/>
      <c r="T40" s="21">
        <f>48987402.5</f>
        <v>48987402.5</v>
      </c>
      <c r="U40" s="21"/>
      <c r="V40" s="21"/>
      <c r="W40" s="21">
        <f>35239104.96</f>
        <v>35239104.96</v>
      </c>
      <c r="X40" s="21"/>
      <c r="Y40" s="21"/>
      <c r="Z40" s="21"/>
      <c r="AA40" s="21"/>
      <c r="AB40" s="22">
        <f>13748297.54</f>
        <v>13748297.54</v>
      </c>
      <c r="AC40" s="22"/>
    </row>
    <row r="41" spans="1:29" s="1" customFormat="1" ht="13.5" customHeight="1">
      <c r="A41" s="30" t="s">
        <v>90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1" t="s">
        <v>89</v>
      </c>
      <c r="M41" s="31"/>
      <c r="N41" s="31"/>
      <c r="O41" s="31" t="s">
        <v>91</v>
      </c>
      <c r="P41" s="31"/>
      <c r="Q41" s="31"/>
      <c r="R41" s="32" t="s">
        <v>92</v>
      </c>
      <c r="S41" s="32"/>
      <c r="T41" s="33">
        <f>1525580.81</f>
        <v>1525580.81</v>
      </c>
      <c r="U41" s="33"/>
      <c r="V41" s="33"/>
      <c r="W41" s="33">
        <f>1214666.4</f>
        <v>1214666.4</v>
      </c>
      <c r="X41" s="33"/>
      <c r="Y41" s="33"/>
      <c r="Z41" s="33"/>
      <c r="AA41" s="33"/>
      <c r="AB41" s="34">
        <f>310914.41</f>
        <v>310914.41</v>
      </c>
      <c r="AC41" s="34"/>
    </row>
    <row r="42" spans="1:29" s="1" customFormat="1" ht="13.5" customHeight="1">
      <c r="A42" s="30" t="s">
        <v>93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1" t="s">
        <v>89</v>
      </c>
      <c r="M42" s="31"/>
      <c r="N42" s="31"/>
      <c r="O42" s="31" t="s">
        <v>94</v>
      </c>
      <c r="P42" s="31"/>
      <c r="Q42" s="31"/>
      <c r="R42" s="32" t="s">
        <v>95</v>
      </c>
      <c r="S42" s="32"/>
      <c r="T42" s="33">
        <f>370000</f>
        <v>370000</v>
      </c>
      <c r="U42" s="33"/>
      <c r="V42" s="33"/>
      <c r="W42" s="33">
        <f>359305.41</f>
        <v>359305.41</v>
      </c>
      <c r="X42" s="33"/>
      <c r="Y42" s="33"/>
      <c r="Z42" s="33"/>
      <c r="AA42" s="33"/>
      <c r="AB42" s="34">
        <f>10694.59</f>
        <v>10694.59</v>
      </c>
      <c r="AC42" s="34"/>
    </row>
    <row r="43" spans="1:29" s="1" customFormat="1" ht="13.5" customHeight="1">
      <c r="A43" s="30" t="s">
        <v>90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1" t="s">
        <v>89</v>
      </c>
      <c r="M43" s="31"/>
      <c r="N43" s="31"/>
      <c r="O43" s="31" t="s">
        <v>96</v>
      </c>
      <c r="P43" s="31"/>
      <c r="Q43" s="31"/>
      <c r="R43" s="32" t="s">
        <v>92</v>
      </c>
      <c r="S43" s="32"/>
      <c r="T43" s="33">
        <f>8559396.31</f>
        <v>8559396.31</v>
      </c>
      <c r="U43" s="33"/>
      <c r="V43" s="33"/>
      <c r="W43" s="33">
        <f>6707101.51</f>
        <v>6707101.51</v>
      </c>
      <c r="X43" s="33"/>
      <c r="Y43" s="33"/>
      <c r="Z43" s="33"/>
      <c r="AA43" s="33"/>
      <c r="AB43" s="34">
        <f>1852294.8</f>
        <v>1852294.8</v>
      </c>
      <c r="AC43" s="34"/>
    </row>
    <row r="44" spans="1:29" s="1" customFormat="1" ht="13.5" customHeight="1">
      <c r="A44" s="30" t="s">
        <v>97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89</v>
      </c>
      <c r="M44" s="31"/>
      <c r="N44" s="31"/>
      <c r="O44" s="31" t="s">
        <v>96</v>
      </c>
      <c r="P44" s="31"/>
      <c r="Q44" s="31"/>
      <c r="R44" s="32" t="s">
        <v>98</v>
      </c>
      <c r="S44" s="32"/>
      <c r="T44" s="33">
        <f>169936.45</f>
        <v>169936.45</v>
      </c>
      <c r="U44" s="33"/>
      <c r="V44" s="33"/>
      <c r="W44" s="33">
        <f>145174.51</f>
        <v>145174.51</v>
      </c>
      <c r="X44" s="33"/>
      <c r="Y44" s="33"/>
      <c r="Z44" s="33"/>
      <c r="AA44" s="33"/>
      <c r="AB44" s="34">
        <f>24761.94</f>
        <v>24761.94</v>
      </c>
      <c r="AC44" s="34"/>
    </row>
    <row r="45" spans="1:29" s="1" customFormat="1" ht="13.5" customHeight="1">
      <c r="A45" s="30" t="s">
        <v>99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89</v>
      </c>
      <c r="M45" s="31"/>
      <c r="N45" s="31"/>
      <c r="O45" s="31" t="s">
        <v>100</v>
      </c>
      <c r="P45" s="31"/>
      <c r="Q45" s="31"/>
      <c r="R45" s="32" t="s">
        <v>101</v>
      </c>
      <c r="S45" s="32"/>
      <c r="T45" s="33">
        <f>20000</f>
        <v>20000</v>
      </c>
      <c r="U45" s="33"/>
      <c r="V45" s="33"/>
      <c r="W45" s="33">
        <f>15000</f>
        <v>15000</v>
      </c>
      <c r="X45" s="33"/>
      <c r="Y45" s="33"/>
      <c r="Z45" s="33"/>
      <c r="AA45" s="33"/>
      <c r="AB45" s="34">
        <f>5000</f>
        <v>5000</v>
      </c>
      <c r="AC45" s="34"/>
    </row>
    <row r="46" spans="1:29" s="1" customFormat="1" ht="13.5" customHeight="1">
      <c r="A46" s="30" t="s">
        <v>102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89</v>
      </c>
      <c r="M46" s="31"/>
      <c r="N46" s="31"/>
      <c r="O46" s="31" t="s">
        <v>100</v>
      </c>
      <c r="P46" s="31"/>
      <c r="Q46" s="31"/>
      <c r="R46" s="32" t="s">
        <v>103</v>
      </c>
      <c r="S46" s="32"/>
      <c r="T46" s="33">
        <f>15000</f>
        <v>15000</v>
      </c>
      <c r="U46" s="33"/>
      <c r="V46" s="33"/>
      <c r="W46" s="33">
        <f>11847.9</f>
        <v>11847.9</v>
      </c>
      <c r="X46" s="33"/>
      <c r="Y46" s="33"/>
      <c r="Z46" s="33"/>
      <c r="AA46" s="33"/>
      <c r="AB46" s="34">
        <f>3152.1</f>
        <v>3152.1</v>
      </c>
      <c r="AC46" s="34"/>
    </row>
    <row r="47" spans="1:29" s="1" customFormat="1" ht="13.5" customHeight="1">
      <c r="A47" s="30" t="s">
        <v>93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89</v>
      </c>
      <c r="M47" s="31"/>
      <c r="N47" s="31"/>
      <c r="O47" s="31" t="s">
        <v>104</v>
      </c>
      <c r="P47" s="31"/>
      <c r="Q47" s="31"/>
      <c r="R47" s="32" t="s">
        <v>95</v>
      </c>
      <c r="S47" s="32"/>
      <c r="T47" s="33">
        <f>2488760</f>
        <v>2488760</v>
      </c>
      <c r="U47" s="33"/>
      <c r="V47" s="33"/>
      <c r="W47" s="33">
        <f>2176012.3</f>
        <v>2176012.3</v>
      </c>
      <c r="X47" s="33"/>
      <c r="Y47" s="33"/>
      <c r="Z47" s="33"/>
      <c r="AA47" s="33"/>
      <c r="AB47" s="34">
        <f>312747.7</f>
        <v>312747.7</v>
      </c>
      <c r="AC47" s="34"/>
    </row>
    <row r="48" spans="1:29" s="1" customFormat="1" ht="13.5" customHeight="1">
      <c r="A48" s="30" t="s">
        <v>102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89</v>
      </c>
      <c r="M48" s="31"/>
      <c r="N48" s="31"/>
      <c r="O48" s="31" t="s">
        <v>104</v>
      </c>
      <c r="P48" s="31"/>
      <c r="Q48" s="31"/>
      <c r="R48" s="32" t="s">
        <v>103</v>
      </c>
      <c r="S48" s="32"/>
      <c r="T48" s="33">
        <f>4100</f>
        <v>4100</v>
      </c>
      <c r="U48" s="33"/>
      <c r="V48" s="33"/>
      <c r="W48" s="33">
        <f>4100</f>
        <v>4100</v>
      </c>
      <c r="X48" s="33"/>
      <c r="Y48" s="33"/>
      <c r="Z48" s="33"/>
      <c r="AA48" s="33"/>
      <c r="AB48" s="34">
        <f>0</f>
        <v>0</v>
      </c>
      <c r="AC48" s="34"/>
    </row>
    <row r="49" spans="1:29" s="1" customFormat="1" ht="13.5" customHeight="1">
      <c r="A49" s="30" t="s">
        <v>105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89</v>
      </c>
      <c r="M49" s="31"/>
      <c r="N49" s="31"/>
      <c r="O49" s="31" t="s">
        <v>106</v>
      </c>
      <c r="P49" s="31"/>
      <c r="Q49" s="31"/>
      <c r="R49" s="32" t="s">
        <v>107</v>
      </c>
      <c r="S49" s="32"/>
      <c r="T49" s="33">
        <f>174364</f>
        <v>174364</v>
      </c>
      <c r="U49" s="33"/>
      <c r="V49" s="33"/>
      <c r="W49" s="33">
        <f>130773</f>
        <v>130773</v>
      </c>
      <c r="X49" s="33"/>
      <c r="Y49" s="33"/>
      <c r="Z49" s="33"/>
      <c r="AA49" s="33"/>
      <c r="AB49" s="34">
        <f>43591</f>
        <v>43591</v>
      </c>
      <c r="AC49" s="34"/>
    </row>
    <row r="50" spans="1:29" s="1" customFormat="1" ht="13.5" customHeight="1">
      <c r="A50" s="30" t="s">
        <v>108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89</v>
      </c>
      <c r="M50" s="31"/>
      <c r="N50" s="31"/>
      <c r="O50" s="31" t="s">
        <v>109</v>
      </c>
      <c r="P50" s="31"/>
      <c r="Q50" s="31"/>
      <c r="R50" s="32" t="s">
        <v>89</v>
      </c>
      <c r="S50" s="32"/>
      <c r="T50" s="33">
        <f>200000</f>
        <v>200000</v>
      </c>
      <c r="U50" s="33"/>
      <c r="V50" s="33"/>
      <c r="W50" s="35" t="s">
        <v>45</v>
      </c>
      <c r="X50" s="35"/>
      <c r="Y50" s="35"/>
      <c r="Z50" s="35"/>
      <c r="AA50" s="35"/>
      <c r="AB50" s="34">
        <f>200000</f>
        <v>200000</v>
      </c>
      <c r="AC50" s="34"/>
    </row>
    <row r="51" spans="1:29" s="1" customFormat="1" ht="13.5" customHeight="1">
      <c r="A51" s="30" t="s">
        <v>99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89</v>
      </c>
      <c r="M51" s="31"/>
      <c r="N51" s="31"/>
      <c r="O51" s="31" t="s">
        <v>110</v>
      </c>
      <c r="P51" s="31"/>
      <c r="Q51" s="31"/>
      <c r="R51" s="32" t="s">
        <v>101</v>
      </c>
      <c r="S51" s="32"/>
      <c r="T51" s="33">
        <f>3000</f>
        <v>3000</v>
      </c>
      <c r="U51" s="33"/>
      <c r="V51" s="33"/>
      <c r="W51" s="33">
        <f>3000</f>
        <v>3000</v>
      </c>
      <c r="X51" s="33"/>
      <c r="Y51" s="33"/>
      <c r="Z51" s="33"/>
      <c r="AA51" s="33"/>
      <c r="AB51" s="34">
        <f>0</f>
        <v>0</v>
      </c>
      <c r="AC51" s="34"/>
    </row>
    <row r="52" spans="1:29" s="1" customFormat="1" ht="13.5" customHeight="1">
      <c r="A52" s="30" t="s">
        <v>102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89</v>
      </c>
      <c r="M52" s="31"/>
      <c r="N52" s="31"/>
      <c r="O52" s="31" t="s">
        <v>110</v>
      </c>
      <c r="P52" s="31"/>
      <c r="Q52" s="31"/>
      <c r="R52" s="32" t="s">
        <v>103</v>
      </c>
      <c r="S52" s="32"/>
      <c r="T52" s="33">
        <f>2272.9</f>
        <v>2272.9</v>
      </c>
      <c r="U52" s="33"/>
      <c r="V52" s="33"/>
      <c r="W52" s="33">
        <f>2272.9</f>
        <v>2272.9</v>
      </c>
      <c r="X52" s="33"/>
      <c r="Y52" s="33"/>
      <c r="Z52" s="33"/>
      <c r="AA52" s="33"/>
      <c r="AB52" s="34">
        <f>0</f>
        <v>0</v>
      </c>
      <c r="AC52" s="34"/>
    </row>
    <row r="53" spans="1:29" s="1" customFormat="1" ht="13.5" customHeight="1">
      <c r="A53" s="30" t="s">
        <v>102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89</v>
      </c>
      <c r="M53" s="31"/>
      <c r="N53" s="31"/>
      <c r="O53" s="31" t="s">
        <v>111</v>
      </c>
      <c r="P53" s="31"/>
      <c r="Q53" s="31"/>
      <c r="R53" s="32" t="s">
        <v>103</v>
      </c>
      <c r="S53" s="32"/>
      <c r="T53" s="33">
        <f>47000</f>
        <v>47000</v>
      </c>
      <c r="U53" s="33"/>
      <c r="V53" s="33"/>
      <c r="W53" s="33">
        <f>27900</f>
        <v>27900</v>
      </c>
      <c r="X53" s="33"/>
      <c r="Y53" s="33"/>
      <c r="Z53" s="33"/>
      <c r="AA53" s="33"/>
      <c r="AB53" s="34">
        <f>19100</f>
        <v>19100</v>
      </c>
      <c r="AC53" s="34"/>
    </row>
    <row r="54" spans="1:29" s="1" customFormat="1" ht="13.5" customHeight="1">
      <c r="A54" s="30" t="s">
        <v>90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89</v>
      </c>
      <c r="M54" s="31"/>
      <c r="N54" s="31"/>
      <c r="O54" s="31" t="s">
        <v>112</v>
      </c>
      <c r="P54" s="31"/>
      <c r="Q54" s="31"/>
      <c r="R54" s="32" t="s">
        <v>92</v>
      </c>
      <c r="S54" s="32"/>
      <c r="T54" s="33">
        <f>3796463.77</f>
        <v>3796463.77</v>
      </c>
      <c r="U54" s="33"/>
      <c r="V54" s="33"/>
      <c r="W54" s="33">
        <f>2311720.59</f>
        <v>2311720.59</v>
      </c>
      <c r="X54" s="33"/>
      <c r="Y54" s="33"/>
      <c r="Z54" s="33"/>
      <c r="AA54" s="33"/>
      <c r="AB54" s="34">
        <f>1484743.18</f>
        <v>1484743.18</v>
      </c>
      <c r="AC54" s="34"/>
    </row>
    <row r="55" spans="1:29" s="1" customFormat="1" ht="13.5" customHeight="1">
      <c r="A55" s="30" t="s">
        <v>97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89</v>
      </c>
      <c r="M55" s="31"/>
      <c r="N55" s="31"/>
      <c r="O55" s="31" t="s">
        <v>112</v>
      </c>
      <c r="P55" s="31"/>
      <c r="Q55" s="31"/>
      <c r="R55" s="32" t="s">
        <v>98</v>
      </c>
      <c r="S55" s="32"/>
      <c r="T55" s="33">
        <f>20000</f>
        <v>20000</v>
      </c>
      <c r="U55" s="33"/>
      <c r="V55" s="33"/>
      <c r="W55" s="33">
        <f>3397.28</f>
        <v>3397.28</v>
      </c>
      <c r="X55" s="33"/>
      <c r="Y55" s="33"/>
      <c r="Z55" s="33"/>
      <c r="AA55" s="33"/>
      <c r="AB55" s="34">
        <f>16602.72</f>
        <v>16602.72</v>
      </c>
      <c r="AC55" s="34"/>
    </row>
    <row r="56" spans="1:29" s="1" customFormat="1" ht="13.5" customHeight="1">
      <c r="A56" s="30" t="s">
        <v>99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89</v>
      </c>
      <c r="M56" s="31"/>
      <c r="N56" s="31"/>
      <c r="O56" s="31" t="s">
        <v>113</v>
      </c>
      <c r="P56" s="31"/>
      <c r="Q56" s="31"/>
      <c r="R56" s="32" t="s">
        <v>101</v>
      </c>
      <c r="S56" s="32"/>
      <c r="T56" s="33">
        <f>3000</f>
        <v>3000</v>
      </c>
      <c r="U56" s="33"/>
      <c r="V56" s="33"/>
      <c r="W56" s="33">
        <f>3000</f>
        <v>3000</v>
      </c>
      <c r="X56" s="33"/>
      <c r="Y56" s="33"/>
      <c r="Z56" s="33"/>
      <c r="AA56" s="33"/>
      <c r="AB56" s="34">
        <f>0</f>
        <v>0</v>
      </c>
      <c r="AC56" s="34"/>
    </row>
    <row r="57" spans="1:29" s="1" customFormat="1" ht="13.5" customHeight="1">
      <c r="A57" s="30" t="s">
        <v>102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89</v>
      </c>
      <c r="M57" s="31"/>
      <c r="N57" s="31"/>
      <c r="O57" s="31" t="s">
        <v>113</v>
      </c>
      <c r="P57" s="31"/>
      <c r="Q57" s="31"/>
      <c r="R57" s="32" t="s">
        <v>103</v>
      </c>
      <c r="S57" s="32"/>
      <c r="T57" s="33">
        <f>62132.8</f>
        <v>62132.8</v>
      </c>
      <c r="U57" s="33"/>
      <c r="V57" s="33"/>
      <c r="W57" s="33">
        <f>38537.1</f>
        <v>38537.1</v>
      </c>
      <c r="X57" s="33"/>
      <c r="Y57" s="33"/>
      <c r="Z57" s="33"/>
      <c r="AA57" s="33"/>
      <c r="AB57" s="34">
        <f>23595.7</f>
        <v>23595.7</v>
      </c>
      <c r="AC57" s="34"/>
    </row>
    <row r="58" spans="1:29" s="1" customFormat="1" ht="13.5" customHeight="1">
      <c r="A58" s="30" t="s">
        <v>93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89</v>
      </c>
      <c r="M58" s="31"/>
      <c r="N58" s="31"/>
      <c r="O58" s="31" t="s">
        <v>114</v>
      </c>
      <c r="P58" s="31"/>
      <c r="Q58" s="31"/>
      <c r="R58" s="32" t="s">
        <v>95</v>
      </c>
      <c r="S58" s="32"/>
      <c r="T58" s="33">
        <f>1152556.79</f>
        <v>1152556.79</v>
      </c>
      <c r="U58" s="33"/>
      <c r="V58" s="33"/>
      <c r="W58" s="33">
        <f>678832.42</f>
        <v>678832.42</v>
      </c>
      <c r="X58" s="33"/>
      <c r="Y58" s="33"/>
      <c r="Z58" s="33"/>
      <c r="AA58" s="33"/>
      <c r="AB58" s="34">
        <f>473724.37</f>
        <v>473724.37</v>
      </c>
      <c r="AC58" s="34"/>
    </row>
    <row r="59" spans="1:29" s="1" customFormat="1" ht="13.5" customHeight="1">
      <c r="A59" s="30" t="s">
        <v>115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89</v>
      </c>
      <c r="M59" s="31"/>
      <c r="N59" s="31"/>
      <c r="O59" s="31" t="s">
        <v>116</v>
      </c>
      <c r="P59" s="31"/>
      <c r="Q59" s="31"/>
      <c r="R59" s="32" t="s">
        <v>117</v>
      </c>
      <c r="S59" s="32"/>
      <c r="T59" s="33">
        <f>3000</f>
        <v>3000</v>
      </c>
      <c r="U59" s="33"/>
      <c r="V59" s="33"/>
      <c r="W59" s="33">
        <f>2065</f>
        <v>2065</v>
      </c>
      <c r="X59" s="33"/>
      <c r="Y59" s="33"/>
      <c r="Z59" s="33"/>
      <c r="AA59" s="33"/>
      <c r="AB59" s="34">
        <f>935</f>
        <v>935</v>
      </c>
      <c r="AC59" s="34"/>
    </row>
    <row r="60" spans="1:29" s="1" customFormat="1" ht="13.5" customHeight="1">
      <c r="A60" s="30" t="s">
        <v>102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89</v>
      </c>
      <c r="M60" s="31"/>
      <c r="N60" s="31"/>
      <c r="O60" s="31" t="s">
        <v>116</v>
      </c>
      <c r="P60" s="31"/>
      <c r="Q60" s="31"/>
      <c r="R60" s="32" t="s">
        <v>103</v>
      </c>
      <c r="S60" s="32"/>
      <c r="T60" s="33">
        <f>19058</f>
        <v>19058</v>
      </c>
      <c r="U60" s="33"/>
      <c r="V60" s="33"/>
      <c r="W60" s="33">
        <f>14041</f>
        <v>14041</v>
      </c>
      <c r="X60" s="33"/>
      <c r="Y60" s="33"/>
      <c r="Z60" s="33"/>
      <c r="AA60" s="33"/>
      <c r="AB60" s="34">
        <f>5017</f>
        <v>5017</v>
      </c>
      <c r="AC60" s="34"/>
    </row>
    <row r="61" spans="1:29" s="1" customFormat="1" ht="13.5" customHeight="1">
      <c r="A61" s="30" t="s">
        <v>118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89</v>
      </c>
      <c r="M61" s="31"/>
      <c r="N61" s="31"/>
      <c r="O61" s="31" t="s">
        <v>116</v>
      </c>
      <c r="P61" s="31"/>
      <c r="Q61" s="31"/>
      <c r="R61" s="32" t="s">
        <v>119</v>
      </c>
      <c r="S61" s="32"/>
      <c r="T61" s="33">
        <f>64504</f>
        <v>64504</v>
      </c>
      <c r="U61" s="33"/>
      <c r="V61" s="33"/>
      <c r="W61" s="35" t="s">
        <v>45</v>
      </c>
      <c r="X61" s="35"/>
      <c r="Y61" s="35"/>
      <c r="Z61" s="35"/>
      <c r="AA61" s="35"/>
      <c r="AB61" s="34">
        <f>64504</f>
        <v>64504</v>
      </c>
      <c r="AC61" s="34"/>
    </row>
    <row r="62" spans="1:29" s="1" customFormat="1" ht="13.5" customHeight="1">
      <c r="A62" s="30" t="s">
        <v>120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89</v>
      </c>
      <c r="M62" s="31"/>
      <c r="N62" s="31"/>
      <c r="O62" s="31" t="s">
        <v>116</v>
      </c>
      <c r="P62" s="31"/>
      <c r="Q62" s="31"/>
      <c r="R62" s="32" t="s">
        <v>121</v>
      </c>
      <c r="S62" s="32"/>
      <c r="T62" s="33">
        <f>22130</f>
        <v>22130</v>
      </c>
      <c r="U62" s="33"/>
      <c r="V62" s="33"/>
      <c r="W62" s="33">
        <f>22130</f>
        <v>22130</v>
      </c>
      <c r="X62" s="33"/>
      <c r="Y62" s="33"/>
      <c r="Z62" s="33"/>
      <c r="AA62" s="33"/>
      <c r="AB62" s="34">
        <f>0</f>
        <v>0</v>
      </c>
      <c r="AC62" s="34"/>
    </row>
    <row r="63" spans="1:29" s="1" customFormat="1" ht="13.5" customHeight="1">
      <c r="A63" s="30" t="s">
        <v>122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89</v>
      </c>
      <c r="M63" s="31"/>
      <c r="N63" s="31"/>
      <c r="O63" s="31" t="s">
        <v>116</v>
      </c>
      <c r="P63" s="31"/>
      <c r="Q63" s="31"/>
      <c r="R63" s="32" t="s">
        <v>123</v>
      </c>
      <c r="S63" s="32"/>
      <c r="T63" s="33">
        <f>40336</f>
        <v>40336</v>
      </c>
      <c r="U63" s="33"/>
      <c r="V63" s="33"/>
      <c r="W63" s="33">
        <f>36730</f>
        <v>36730</v>
      </c>
      <c r="X63" s="33"/>
      <c r="Y63" s="33"/>
      <c r="Z63" s="33"/>
      <c r="AA63" s="33"/>
      <c r="AB63" s="34">
        <f>3606</f>
        <v>3606</v>
      </c>
      <c r="AC63" s="34"/>
    </row>
    <row r="64" spans="1:29" s="1" customFormat="1" ht="24" customHeight="1">
      <c r="A64" s="30" t="s">
        <v>124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89</v>
      </c>
      <c r="M64" s="31"/>
      <c r="N64" s="31"/>
      <c r="O64" s="31" t="s">
        <v>116</v>
      </c>
      <c r="P64" s="31"/>
      <c r="Q64" s="31"/>
      <c r="R64" s="32" t="s">
        <v>125</v>
      </c>
      <c r="S64" s="32"/>
      <c r="T64" s="33">
        <f>26682.2</f>
        <v>26682.2</v>
      </c>
      <c r="U64" s="33"/>
      <c r="V64" s="33"/>
      <c r="W64" s="33">
        <f>16635</f>
        <v>16635</v>
      </c>
      <c r="X64" s="33"/>
      <c r="Y64" s="33"/>
      <c r="Z64" s="33"/>
      <c r="AA64" s="33"/>
      <c r="AB64" s="34">
        <f>10047.2</f>
        <v>10047.2</v>
      </c>
      <c r="AC64" s="34"/>
    </row>
    <row r="65" spans="1:29" s="1" customFormat="1" ht="13.5" customHeight="1">
      <c r="A65" s="30" t="s">
        <v>126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89</v>
      </c>
      <c r="M65" s="31"/>
      <c r="N65" s="31"/>
      <c r="O65" s="31" t="s">
        <v>127</v>
      </c>
      <c r="P65" s="31"/>
      <c r="Q65" s="31"/>
      <c r="R65" s="32" t="s">
        <v>128</v>
      </c>
      <c r="S65" s="32"/>
      <c r="T65" s="33">
        <f>222815.39</f>
        <v>222815.39</v>
      </c>
      <c r="U65" s="33"/>
      <c r="V65" s="33"/>
      <c r="W65" s="33">
        <f>222215.39</f>
        <v>222215.39</v>
      </c>
      <c r="X65" s="33"/>
      <c r="Y65" s="33"/>
      <c r="Z65" s="33"/>
      <c r="AA65" s="33"/>
      <c r="AB65" s="34">
        <f>600</f>
        <v>600</v>
      </c>
      <c r="AC65" s="34"/>
    </row>
    <row r="66" spans="1:29" s="1" customFormat="1" ht="13.5" customHeight="1">
      <c r="A66" s="30" t="s">
        <v>129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89</v>
      </c>
      <c r="M66" s="31"/>
      <c r="N66" s="31"/>
      <c r="O66" s="31" t="s">
        <v>127</v>
      </c>
      <c r="P66" s="31"/>
      <c r="Q66" s="31"/>
      <c r="R66" s="32" t="s">
        <v>130</v>
      </c>
      <c r="S66" s="32"/>
      <c r="T66" s="33">
        <f>25602.5</f>
        <v>25602.5</v>
      </c>
      <c r="U66" s="33"/>
      <c r="V66" s="33"/>
      <c r="W66" s="33">
        <f>25602.5</f>
        <v>25602.5</v>
      </c>
      <c r="X66" s="33"/>
      <c r="Y66" s="33"/>
      <c r="Z66" s="33"/>
      <c r="AA66" s="33"/>
      <c r="AB66" s="34">
        <f>0</f>
        <v>0</v>
      </c>
      <c r="AC66" s="34"/>
    </row>
    <row r="67" spans="1:29" s="1" customFormat="1" ht="13.5" customHeight="1">
      <c r="A67" s="30" t="s">
        <v>115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89</v>
      </c>
      <c r="M67" s="31"/>
      <c r="N67" s="31"/>
      <c r="O67" s="31" t="s">
        <v>131</v>
      </c>
      <c r="P67" s="31"/>
      <c r="Q67" s="31"/>
      <c r="R67" s="32" t="s">
        <v>117</v>
      </c>
      <c r="S67" s="32"/>
      <c r="T67" s="33">
        <f>30000</f>
        <v>30000</v>
      </c>
      <c r="U67" s="33"/>
      <c r="V67" s="33"/>
      <c r="W67" s="33">
        <f>28000</f>
        <v>28000</v>
      </c>
      <c r="X67" s="33"/>
      <c r="Y67" s="33"/>
      <c r="Z67" s="33"/>
      <c r="AA67" s="33"/>
      <c r="AB67" s="34">
        <f>2000</f>
        <v>2000</v>
      </c>
      <c r="AC67" s="34"/>
    </row>
    <row r="68" spans="1:29" s="1" customFormat="1" ht="13.5" customHeight="1">
      <c r="A68" s="30" t="s">
        <v>132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89</v>
      </c>
      <c r="M68" s="31"/>
      <c r="N68" s="31"/>
      <c r="O68" s="31" t="s">
        <v>131</v>
      </c>
      <c r="P68" s="31"/>
      <c r="Q68" s="31"/>
      <c r="R68" s="32" t="s">
        <v>133</v>
      </c>
      <c r="S68" s="32"/>
      <c r="T68" s="33">
        <f>21737.2</f>
        <v>21737.2</v>
      </c>
      <c r="U68" s="33"/>
      <c r="V68" s="33"/>
      <c r="W68" s="33">
        <f>21737.2</f>
        <v>21737.2</v>
      </c>
      <c r="X68" s="33"/>
      <c r="Y68" s="33"/>
      <c r="Z68" s="33"/>
      <c r="AA68" s="33"/>
      <c r="AB68" s="34">
        <f>0</f>
        <v>0</v>
      </c>
      <c r="AC68" s="34"/>
    </row>
    <row r="69" spans="1:29" s="1" customFormat="1" ht="13.5" customHeight="1">
      <c r="A69" s="30" t="s">
        <v>134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89</v>
      </c>
      <c r="M69" s="31"/>
      <c r="N69" s="31"/>
      <c r="O69" s="31" t="s">
        <v>131</v>
      </c>
      <c r="P69" s="31"/>
      <c r="Q69" s="31"/>
      <c r="R69" s="32" t="s">
        <v>135</v>
      </c>
      <c r="S69" s="32"/>
      <c r="T69" s="33">
        <f>340900</f>
        <v>340900</v>
      </c>
      <c r="U69" s="33"/>
      <c r="V69" s="33"/>
      <c r="W69" s="33">
        <f>192062.72</f>
        <v>192062.72</v>
      </c>
      <c r="X69" s="33"/>
      <c r="Y69" s="33"/>
      <c r="Z69" s="33"/>
      <c r="AA69" s="33"/>
      <c r="AB69" s="34">
        <f>148837.28</f>
        <v>148837.28</v>
      </c>
      <c r="AC69" s="34"/>
    </row>
    <row r="70" spans="1:29" s="1" customFormat="1" ht="13.5" customHeight="1">
      <c r="A70" s="30" t="s">
        <v>136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89</v>
      </c>
      <c r="M70" s="31"/>
      <c r="N70" s="31"/>
      <c r="O70" s="31" t="s">
        <v>131</v>
      </c>
      <c r="P70" s="31"/>
      <c r="Q70" s="31"/>
      <c r="R70" s="32" t="s">
        <v>137</v>
      </c>
      <c r="S70" s="32"/>
      <c r="T70" s="33">
        <f>104669.92</f>
        <v>104669.92</v>
      </c>
      <c r="U70" s="33"/>
      <c r="V70" s="33"/>
      <c r="W70" s="33">
        <f>54881</f>
        <v>54881</v>
      </c>
      <c r="X70" s="33"/>
      <c r="Y70" s="33"/>
      <c r="Z70" s="33"/>
      <c r="AA70" s="33"/>
      <c r="AB70" s="34">
        <f>49788.92</f>
        <v>49788.92</v>
      </c>
      <c r="AC70" s="34"/>
    </row>
    <row r="71" spans="1:29" s="1" customFormat="1" ht="13.5" customHeight="1">
      <c r="A71" s="30" t="s">
        <v>102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89</v>
      </c>
      <c r="M71" s="31"/>
      <c r="N71" s="31"/>
      <c r="O71" s="31" t="s">
        <v>131</v>
      </c>
      <c r="P71" s="31"/>
      <c r="Q71" s="31"/>
      <c r="R71" s="32" t="s">
        <v>103</v>
      </c>
      <c r="S71" s="32"/>
      <c r="T71" s="33">
        <f>91265</f>
        <v>91265</v>
      </c>
      <c r="U71" s="33"/>
      <c r="V71" s="33"/>
      <c r="W71" s="33">
        <f>50698.27</f>
        <v>50698.27</v>
      </c>
      <c r="X71" s="33"/>
      <c r="Y71" s="33"/>
      <c r="Z71" s="33"/>
      <c r="AA71" s="33"/>
      <c r="AB71" s="34">
        <f>40566.73</f>
        <v>40566.73</v>
      </c>
      <c r="AC71" s="34"/>
    </row>
    <row r="72" spans="1:29" s="1" customFormat="1" ht="13.5" customHeight="1">
      <c r="A72" s="30" t="s">
        <v>138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89</v>
      </c>
      <c r="M72" s="31"/>
      <c r="N72" s="31"/>
      <c r="O72" s="31" t="s">
        <v>131</v>
      </c>
      <c r="P72" s="31"/>
      <c r="Q72" s="31"/>
      <c r="R72" s="32" t="s">
        <v>139</v>
      </c>
      <c r="S72" s="32"/>
      <c r="T72" s="33">
        <f>13642.16</f>
        <v>13642.16</v>
      </c>
      <c r="U72" s="33"/>
      <c r="V72" s="33"/>
      <c r="W72" s="33">
        <f>13642.16</f>
        <v>13642.16</v>
      </c>
      <c r="X72" s="33"/>
      <c r="Y72" s="33"/>
      <c r="Z72" s="33"/>
      <c r="AA72" s="33"/>
      <c r="AB72" s="34">
        <f aca="true" t="shared" si="0" ref="AB72:AB77">0</f>
        <v>0</v>
      </c>
      <c r="AC72" s="34"/>
    </row>
    <row r="73" spans="1:29" s="1" customFormat="1" ht="13.5" customHeight="1">
      <c r="A73" s="30" t="s">
        <v>140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89</v>
      </c>
      <c r="M73" s="31"/>
      <c r="N73" s="31"/>
      <c r="O73" s="31" t="s">
        <v>131</v>
      </c>
      <c r="P73" s="31"/>
      <c r="Q73" s="31"/>
      <c r="R73" s="32" t="s">
        <v>141</v>
      </c>
      <c r="S73" s="32"/>
      <c r="T73" s="33">
        <f>43313.5</f>
        <v>43313.5</v>
      </c>
      <c r="U73" s="33"/>
      <c r="V73" s="33"/>
      <c r="W73" s="33">
        <f>43313.5</f>
        <v>43313.5</v>
      </c>
      <c r="X73" s="33"/>
      <c r="Y73" s="33"/>
      <c r="Z73" s="33"/>
      <c r="AA73" s="33"/>
      <c r="AB73" s="34">
        <f t="shared" si="0"/>
        <v>0</v>
      </c>
      <c r="AC73" s="34"/>
    </row>
    <row r="74" spans="1:29" s="1" customFormat="1" ht="13.5" customHeight="1">
      <c r="A74" s="30" t="s">
        <v>118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89</v>
      </c>
      <c r="M74" s="31"/>
      <c r="N74" s="31"/>
      <c r="O74" s="31" t="s">
        <v>131</v>
      </c>
      <c r="P74" s="31"/>
      <c r="Q74" s="31"/>
      <c r="R74" s="32" t="s">
        <v>119</v>
      </c>
      <c r="S74" s="32"/>
      <c r="T74" s="33">
        <f>139281.4</f>
        <v>139281.4</v>
      </c>
      <c r="U74" s="33"/>
      <c r="V74" s="33"/>
      <c r="W74" s="33">
        <f>139281.4</f>
        <v>139281.4</v>
      </c>
      <c r="X74" s="33"/>
      <c r="Y74" s="33"/>
      <c r="Z74" s="33"/>
      <c r="AA74" s="33"/>
      <c r="AB74" s="34">
        <f t="shared" si="0"/>
        <v>0</v>
      </c>
      <c r="AC74" s="34"/>
    </row>
    <row r="75" spans="1:29" s="1" customFormat="1" ht="13.5" customHeight="1">
      <c r="A75" s="30" t="s">
        <v>120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89</v>
      </c>
      <c r="M75" s="31"/>
      <c r="N75" s="31"/>
      <c r="O75" s="31" t="s">
        <v>131</v>
      </c>
      <c r="P75" s="31"/>
      <c r="Q75" s="31"/>
      <c r="R75" s="32" t="s">
        <v>121</v>
      </c>
      <c r="S75" s="32"/>
      <c r="T75" s="33">
        <f>5572</f>
        <v>5572</v>
      </c>
      <c r="U75" s="33"/>
      <c r="V75" s="33"/>
      <c r="W75" s="33">
        <f>5572</f>
        <v>5572</v>
      </c>
      <c r="X75" s="33"/>
      <c r="Y75" s="33"/>
      <c r="Z75" s="33"/>
      <c r="AA75" s="33"/>
      <c r="AB75" s="34">
        <f t="shared" si="0"/>
        <v>0</v>
      </c>
      <c r="AC75" s="34"/>
    </row>
    <row r="76" spans="1:29" s="1" customFormat="1" ht="13.5" customHeight="1">
      <c r="A76" s="30" t="s">
        <v>142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89</v>
      </c>
      <c r="M76" s="31"/>
      <c r="N76" s="31"/>
      <c r="O76" s="31" t="s">
        <v>131</v>
      </c>
      <c r="P76" s="31"/>
      <c r="Q76" s="31"/>
      <c r="R76" s="32" t="s">
        <v>143</v>
      </c>
      <c r="S76" s="32"/>
      <c r="T76" s="33">
        <f>356.25</f>
        <v>356.25</v>
      </c>
      <c r="U76" s="33"/>
      <c r="V76" s="33"/>
      <c r="W76" s="33">
        <f>356.25</f>
        <v>356.25</v>
      </c>
      <c r="X76" s="33"/>
      <c r="Y76" s="33"/>
      <c r="Z76" s="33"/>
      <c r="AA76" s="33"/>
      <c r="AB76" s="34">
        <f t="shared" si="0"/>
        <v>0</v>
      </c>
      <c r="AC76" s="34"/>
    </row>
    <row r="77" spans="1:29" s="1" customFormat="1" ht="13.5" customHeight="1">
      <c r="A77" s="30" t="s">
        <v>122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89</v>
      </c>
      <c r="M77" s="31"/>
      <c r="N77" s="31"/>
      <c r="O77" s="31" t="s">
        <v>131</v>
      </c>
      <c r="P77" s="31"/>
      <c r="Q77" s="31"/>
      <c r="R77" s="32" t="s">
        <v>123</v>
      </c>
      <c r="S77" s="32"/>
      <c r="T77" s="33">
        <f>137527.94</f>
        <v>137527.94</v>
      </c>
      <c r="U77" s="33"/>
      <c r="V77" s="33"/>
      <c r="W77" s="33">
        <f>137527.94</f>
        <v>137527.94</v>
      </c>
      <c r="X77" s="33"/>
      <c r="Y77" s="33"/>
      <c r="Z77" s="33"/>
      <c r="AA77" s="33"/>
      <c r="AB77" s="34">
        <f t="shared" si="0"/>
        <v>0</v>
      </c>
      <c r="AC77" s="34"/>
    </row>
    <row r="78" spans="1:29" s="1" customFormat="1" ht="24" customHeight="1">
      <c r="A78" s="30" t="s">
        <v>124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89</v>
      </c>
      <c r="M78" s="31"/>
      <c r="N78" s="31"/>
      <c r="O78" s="31" t="s">
        <v>131</v>
      </c>
      <c r="P78" s="31"/>
      <c r="Q78" s="31"/>
      <c r="R78" s="32" t="s">
        <v>125</v>
      </c>
      <c r="S78" s="32"/>
      <c r="T78" s="33">
        <f>13580.8</f>
        <v>13580.8</v>
      </c>
      <c r="U78" s="33"/>
      <c r="V78" s="33"/>
      <c r="W78" s="33">
        <f>11892.3</f>
        <v>11892.3</v>
      </c>
      <c r="X78" s="33"/>
      <c r="Y78" s="33"/>
      <c r="Z78" s="33"/>
      <c r="AA78" s="33"/>
      <c r="AB78" s="34">
        <f>1688.5</f>
        <v>1688.5</v>
      </c>
      <c r="AC78" s="34"/>
    </row>
    <row r="79" spans="1:29" s="1" customFormat="1" ht="13.5" customHeight="1">
      <c r="A79" s="30" t="s">
        <v>144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89</v>
      </c>
      <c r="M79" s="31"/>
      <c r="N79" s="31"/>
      <c r="O79" s="31" t="s">
        <v>145</v>
      </c>
      <c r="P79" s="31"/>
      <c r="Q79" s="31"/>
      <c r="R79" s="32" t="s">
        <v>146</v>
      </c>
      <c r="S79" s="32"/>
      <c r="T79" s="33">
        <f>4176</f>
        <v>4176</v>
      </c>
      <c r="U79" s="33"/>
      <c r="V79" s="33"/>
      <c r="W79" s="33">
        <f>4176</f>
        <v>4176</v>
      </c>
      <c r="X79" s="33"/>
      <c r="Y79" s="33"/>
      <c r="Z79" s="33"/>
      <c r="AA79" s="33"/>
      <c r="AB79" s="34">
        <f>0</f>
        <v>0</v>
      </c>
      <c r="AC79" s="34"/>
    </row>
    <row r="80" spans="1:29" s="1" customFormat="1" ht="13.5" customHeight="1">
      <c r="A80" s="30" t="s">
        <v>144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89</v>
      </c>
      <c r="M80" s="31"/>
      <c r="N80" s="31"/>
      <c r="O80" s="31" t="s">
        <v>147</v>
      </c>
      <c r="P80" s="31"/>
      <c r="Q80" s="31"/>
      <c r="R80" s="32" t="s">
        <v>146</v>
      </c>
      <c r="S80" s="32"/>
      <c r="T80" s="33">
        <f>896</f>
        <v>896</v>
      </c>
      <c r="U80" s="33"/>
      <c r="V80" s="33"/>
      <c r="W80" s="33">
        <f>896</f>
        <v>896</v>
      </c>
      <c r="X80" s="33"/>
      <c r="Y80" s="33"/>
      <c r="Z80" s="33"/>
      <c r="AA80" s="33"/>
      <c r="AB80" s="34">
        <f>0</f>
        <v>0</v>
      </c>
      <c r="AC80" s="34"/>
    </row>
    <row r="81" spans="1:29" s="1" customFormat="1" ht="13.5" customHeight="1">
      <c r="A81" s="30" t="s">
        <v>148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89</v>
      </c>
      <c r="M81" s="31"/>
      <c r="N81" s="31"/>
      <c r="O81" s="31" t="s">
        <v>149</v>
      </c>
      <c r="P81" s="31"/>
      <c r="Q81" s="31"/>
      <c r="R81" s="32" t="s">
        <v>150</v>
      </c>
      <c r="S81" s="32"/>
      <c r="T81" s="33">
        <f>200000</f>
        <v>200000</v>
      </c>
      <c r="U81" s="33"/>
      <c r="V81" s="33"/>
      <c r="W81" s="33">
        <f>200000</f>
        <v>200000</v>
      </c>
      <c r="X81" s="33"/>
      <c r="Y81" s="33"/>
      <c r="Z81" s="33"/>
      <c r="AA81" s="33"/>
      <c r="AB81" s="34">
        <f>0</f>
        <v>0</v>
      </c>
      <c r="AC81" s="34"/>
    </row>
    <row r="82" spans="1:29" s="1" customFormat="1" ht="13.5" customHeight="1">
      <c r="A82" s="30" t="s">
        <v>90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89</v>
      </c>
      <c r="M82" s="31"/>
      <c r="N82" s="31"/>
      <c r="O82" s="31" t="s">
        <v>151</v>
      </c>
      <c r="P82" s="31"/>
      <c r="Q82" s="31"/>
      <c r="R82" s="32" t="s">
        <v>92</v>
      </c>
      <c r="S82" s="32"/>
      <c r="T82" s="33">
        <f>614504.4</f>
        <v>614504.4</v>
      </c>
      <c r="U82" s="33"/>
      <c r="V82" s="33"/>
      <c r="W82" s="33">
        <f>412100</f>
        <v>412100</v>
      </c>
      <c r="X82" s="33"/>
      <c r="Y82" s="33"/>
      <c r="Z82" s="33"/>
      <c r="AA82" s="33"/>
      <c r="AB82" s="34">
        <f>202404.4</f>
        <v>202404.4</v>
      </c>
      <c r="AC82" s="34"/>
    </row>
    <row r="83" spans="1:29" s="1" customFormat="1" ht="13.5" customHeight="1">
      <c r="A83" s="30" t="s">
        <v>93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89</v>
      </c>
      <c r="M83" s="31"/>
      <c r="N83" s="31"/>
      <c r="O83" s="31" t="s">
        <v>152</v>
      </c>
      <c r="P83" s="31"/>
      <c r="Q83" s="31"/>
      <c r="R83" s="32" t="s">
        <v>95</v>
      </c>
      <c r="S83" s="32"/>
      <c r="T83" s="33">
        <f>185595.6</f>
        <v>185595.6</v>
      </c>
      <c r="U83" s="33"/>
      <c r="V83" s="33"/>
      <c r="W83" s="33">
        <f>97000</f>
        <v>97000</v>
      </c>
      <c r="X83" s="33"/>
      <c r="Y83" s="33"/>
      <c r="Z83" s="33"/>
      <c r="AA83" s="33"/>
      <c r="AB83" s="34">
        <f>88595.6</f>
        <v>88595.6</v>
      </c>
      <c r="AC83" s="34"/>
    </row>
    <row r="84" spans="1:29" s="1" customFormat="1" ht="13.5" customHeight="1">
      <c r="A84" s="30" t="s">
        <v>90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89</v>
      </c>
      <c r="M84" s="31"/>
      <c r="N84" s="31"/>
      <c r="O84" s="31" t="s">
        <v>153</v>
      </c>
      <c r="P84" s="31"/>
      <c r="Q84" s="31"/>
      <c r="R84" s="32" t="s">
        <v>92</v>
      </c>
      <c r="S84" s="32"/>
      <c r="T84" s="33">
        <f>322608</f>
        <v>322608</v>
      </c>
      <c r="U84" s="33"/>
      <c r="V84" s="33"/>
      <c r="W84" s="33">
        <f>262508.58</f>
        <v>262508.58</v>
      </c>
      <c r="X84" s="33"/>
      <c r="Y84" s="33"/>
      <c r="Z84" s="33"/>
      <c r="AA84" s="33"/>
      <c r="AB84" s="34">
        <f>60099.42</f>
        <v>60099.42</v>
      </c>
      <c r="AC84" s="34"/>
    </row>
    <row r="85" spans="1:29" s="1" customFormat="1" ht="13.5" customHeight="1">
      <c r="A85" s="30" t="s">
        <v>99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89</v>
      </c>
      <c r="M85" s="31"/>
      <c r="N85" s="31"/>
      <c r="O85" s="31" t="s">
        <v>154</v>
      </c>
      <c r="P85" s="31"/>
      <c r="Q85" s="31"/>
      <c r="R85" s="32" t="s">
        <v>101</v>
      </c>
      <c r="S85" s="32"/>
      <c r="T85" s="33">
        <f>1000</f>
        <v>1000</v>
      </c>
      <c r="U85" s="33"/>
      <c r="V85" s="33"/>
      <c r="W85" s="33">
        <f>1000</f>
        <v>1000</v>
      </c>
      <c r="X85" s="33"/>
      <c r="Y85" s="33"/>
      <c r="Z85" s="33"/>
      <c r="AA85" s="33"/>
      <c r="AB85" s="34">
        <f>0</f>
        <v>0</v>
      </c>
      <c r="AC85" s="34"/>
    </row>
    <row r="86" spans="1:29" s="1" customFormat="1" ht="13.5" customHeight="1">
      <c r="A86" s="30" t="s">
        <v>102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89</v>
      </c>
      <c r="M86" s="31"/>
      <c r="N86" s="31"/>
      <c r="O86" s="31" t="s">
        <v>154</v>
      </c>
      <c r="P86" s="31"/>
      <c r="Q86" s="31"/>
      <c r="R86" s="32" t="s">
        <v>103</v>
      </c>
      <c r="S86" s="32"/>
      <c r="T86" s="33">
        <f>4000</f>
        <v>4000</v>
      </c>
      <c r="U86" s="33"/>
      <c r="V86" s="33"/>
      <c r="W86" s="33">
        <f>1739.4</f>
        <v>1739.4</v>
      </c>
      <c r="X86" s="33"/>
      <c r="Y86" s="33"/>
      <c r="Z86" s="33"/>
      <c r="AA86" s="33"/>
      <c r="AB86" s="34">
        <f>2260.6</f>
        <v>2260.6</v>
      </c>
      <c r="AC86" s="34"/>
    </row>
    <row r="87" spans="1:29" s="1" customFormat="1" ht="13.5" customHeight="1">
      <c r="A87" s="30" t="s">
        <v>93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89</v>
      </c>
      <c r="M87" s="31"/>
      <c r="N87" s="31"/>
      <c r="O87" s="31" t="s">
        <v>155</v>
      </c>
      <c r="P87" s="31"/>
      <c r="Q87" s="31"/>
      <c r="R87" s="32" t="s">
        <v>95</v>
      </c>
      <c r="S87" s="32"/>
      <c r="T87" s="33">
        <f>97422</f>
        <v>97422</v>
      </c>
      <c r="U87" s="33"/>
      <c r="V87" s="33"/>
      <c r="W87" s="33">
        <f>74498.67</f>
        <v>74498.67</v>
      </c>
      <c r="X87" s="33"/>
      <c r="Y87" s="33"/>
      <c r="Z87" s="33"/>
      <c r="AA87" s="33"/>
      <c r="AB87" s="34">
        <f>22923.33</f>
        <v>22923.33</v>
      </c>
      <c r="AC87" s="34"/>
    </row>
    <row r="88" spans="1:29" s="1" customFormat="1" ht="13.5" customHeight="1">
      <c r="A88" s="30" t="s">
        <v>134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89</v>
      </c>
      <c r="M88" s="31"/>
      <c r="N88" s="31"/>
      <c r="O88" s="31" t="s">
        <v>156</v>
      </c>
      <c r="P88" s="31"/>
      <c r="Q88" s="31"/>
      <c r="R88" s="32" t="s">
        <v>135</v>
      </c>
      <c r="S88" s="32"/>
      <c r="T88" s="33">
        <f>9350</f>
        <v>9350</v>
      </c>
      <c r="U88" s="33"/>
      <c r="V88" s="33"/>
      <c r="W88" s="35" t="s">
        <v>45</v>
      </c>
      <c r="X88" s="35"/>
      <c r="Y88" s="35"/>
      <c r="Z88" s="35"/>
      <c r="AA88" s="35"/>
      <c r="AB88" s="34">
        <f>9350</f>
        <v>9350</v>
      </c>
      <c r="AC88" s="34"/>
    </row>
    <row r="89" spans="1:29" s="1" customFormat="1" ht="13.5" customHeight="1">
      <c r="A89" s="30" t="s">
        <v>122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89</v>
      </c>
      <c r="M89" s="31"/>
      <c r="N89" s="31"/>
      <c r="O89" s="31" t="s">
        <v>156</v>
      </c>
      <c r="P89" s="31"/>
      <c r="Q89" s="31"/>
      <c r="R89" s="32" t="s">
        <v>123</v>
      </c>
      <c r="S89" s="32"/>
      <c r="T89" s="33">
        <f>1120</f>
        <v>1120</v>
      </c>
      <c r="U89" s="33"/>
      <c r="V89" s="33"/>
      <c r="W89" s="35" t="s">
        <v>45</v>
      </c>
      <c r="X89" s="35"/>
      <c r="Y89" s="35"/>
      <c r="Z89" s="35"/>
      <c r="AA89" s="35"/>
      <c r="AB89" s="34">
        <f>1120</f>
        <v>1120</v>
      </c>
      <c r="AC89" s="34"/>
    </row>
    <row r="90" spans="1:29" s="1" customFormat="1" ht="13.5" customHeight="1">
      <c r="A90" s="30" t="s">
        <v>90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89</v>
      </c>
      <c r="M90" s="31"/>
      <c r="N90" s="31"/>
      <c r="O90" s="31" t="s">
        <v>157</v>
      </c>
      <c r="P90" s="31"/>
      <c r="Q90" s="31"/>
      <c r="R90" s="32" t="s">
        <v>92</v>
      </c>
      <c r="S90" s="32"/>
      <c r="T90" s="33">
        <f>40855.04</f>
        <v>40855.04</v>
      </c>
      <c r="U90" s="33"/>
      <c r="V90" s="33"/>
      <c r="W90" s="33">
        <f>30960.31</f>
        <v>30960.31</v>
      </c>
      <c r="X90" s="33"/>
      <c r="Y90" s="33"/>
      <c r="Z90" s="33"/>
      <c r="AA90" s="33"/>
      <c r="AB90" s="34">
        <f>9894.73</f>
        <v>9894.73</v>
      </c>
      <c r="AC90" s="34"/>
    </row>
    <row r="91" spans="1:29" s="1" customFormat="1" ht="13.5" customHeight="1">
      <c r="A91" s="30" t="s">
        <v>93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89</v>
      </c>
      <c r="M91" s="31"/>
      <c r="N91" s="31"/>
      <c r="O91" s="31" t="s">
        <v>158</v>
      </c>
      <c r="P91" s="31"/>
      <c r="Q91" s="31"/>
      <c r="R91" s="32" t="s">
        <v>95</v>
      </c>
      <c r="S91" s="32"/>
      <c r="T91" s="33">
        <f>12338.22</f>
        <v>12338.22</v>
      </c>
      <c r="U91" s="33"/>
      <c r="V91" s="33"/>
      <c r="W91" s="33">
        <f>7870.09</f>
        <v>7870.09</v>
      </c>
      <c r="X91" s="33"/>
      <c r="Y91" s="33"/>
      <c r="Z91" s="33"/>
      <c r="AA91" s="33"/>
      <c r="AB91" s="34">
        <f>4468.13</f>
        <v>4468.13</v>
      </c>
      <c r="AC91" s="34"/>
    </row>
    <row r="92" spans="1:29" s="1" customFormat="1" ht="13.5" customHeight="1">
      <c r="A92" s="30" t="s">
        <v>140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89</v>
      </c>
      <c r="M92" s="31"/>
      <c r="N92" s="31"/>
      <c r="O92" s="31" t="s">
        <v>159</v>
      </c>
      <c r="P92" s="31"/>
      <c r="Q92" s="31"/>
      <c r="R92" s="32" t="s">
        <v>141</v>
      </c>
      <c r="S92" s="32"/>
      <c r="T92" s="33">
        <f>4145.3</f>
        <v>4145.3</v>
      </c>
      <c r="U92" s="33"/>
      <c r="V92" s="33"/>
      <c r="W92" s="35" t="s">
        <v>45</v>
      </c>
      <c r="X92" s="35"/>
      <c r="Y92" s="35"/>
      <c r="Z92" s="35"/>
      <c r="AA92" s="35"/>
      <c r="AB92" s="34">
        <f>4145.3</f>
        <v>4145.3</v>
      </c>
      <c r="AC92" s="34"/>
    </row>
    <row r="93" spans="1:29" s="1" customFormat="1" ht="13.5" customHeight="1">
      <c r="A93" s="30" t="s">
        <v>90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89</v>
      </c>
      <c r="M93" s="31"/>
      <c r="N93" s="31"/>
      <c r="O93" s="31" t="s">
        <v>160</v>
      </c>
      <c r="P93" s="31"/>
      <c r="Q93" s="31"/>
      <c r="R93" s="32" t="s">
        <v>92</v>
      </c>
      <c r="S93" s="32"/>
      <c r="T93" s="33">
        <f>17342.79</f>
        <v>17342.79</v>
      </c>
      <c r="U93" s="33"/>
      <c r="V93" s="33"/>
      <c r="W93" s="33">
        <f>12521.06</f>
        <v>12521.06</v>
      </c>
      <c r="X93" s="33"/>
      <c r="Y93" s="33"/>
      <c r="Z93" s="33"/>
      <c r="AA93" s="33"/>
      <c r="AB93" s="34">
        <f>4821.73</f>
        <v>4821.73</v>
      </c>
      <c r="AC93" s="34"/>
    </row>
    <row r="94" spans="1:29" s="1" customFormat="1" ht="13.5" customHeight="1">
      <c r="A94" s="30" t="s">
        <v>93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89</v>
      </c>
      <c r="M94" s="31"/>
      <c r="N94" s="31"/>
      <c r="O94" s="31" t="s">
        <v>161</v>
      </c>
      <c r="P94" s="31"/>
      <c r="Q94" s="31"/>
      <c r="R94" s="32" t="s">
        <v>95</v>
      </c>
      <c r="S94" s="32"/>
      <c r="T94" s="33">
        <f>5237.52</f>
        <v>5237.52</v>
      </c>
      <c r="U94" s="33"/>
      <c r="V94" s="33"/>
      <c r="W94" s="33">
        <f>4704.15</f>
        <v>4704.15</v>
      </c>
      <c r="X94" s="33"/>
      <c r="Y94" s="33"/>
      <c r="Z94" s="33"/>
      <c r="AA94" s="33"/>
      <c r="AB94" s="34">
        <f>533.37</f>
        <v>533.37</v>
      </c>
      <c r="AC94" s="34"/>
    </row>
    <row r="95" spans="1:29" s="1" customFormat="1" ht="13.5" customHeight="1">
      <c r="A95" s="30" t="s">
        <v>102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89</v>
      </c>
      <c r="M95" s="31"/>
      <c r="N95" s="31"/>
      <c r="O95" s="31" t="s">
        <v>162</v>
      </c>
      <c r="P95" s="31"/>
      <c r="Q95" s="31"/>
      <c r="R95" s="32" t="s">
        <v>103</v>
      </c>
      <c r="S95" s="32"/>
      <c r="T95" s="33">
        <f>9475.7</f>
        <v>9475.7</v>
      </c>
      <c r="U95" s="33"/>
      <c r="V95" s="33"/>
      <c r="W95" s="35" t="s">
        <v>45</v>
      </c>
      <c r="X95" s="35"/>
      <c r="Y95" s="35"/>
      <c r="Z95" s="35"/>
      <c r="AA95" s="35"/>
      <c r="AB95" s="34">
        <f>9475.7</f>
        <v>9475.7</v>
      </c>
      <c r="AC95" s="34"/>
    </row>
    <row r="96" spans="1:29" s="1" customFormat="1" ht="13.5" customHeight="1">
      <c r="A96" s="30" t="s">
        <v>102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89</v>
      </c>
      <c r="M96" s="31"/>
      <c r="N96" s="31"/>
      <c r="O96" s="31" t="s">
        <v>163</v>
      </c>
      <c r="P96" s="31"/>
      <c r="Q96" s="31"/>
      <c r="R96" s="32" t="s">
        <v>103</v>
      </c>
      <c r="S96" s="32"/>
      <c r="T96" s="33">
        <f>6000</f>
        <v>6000</v>
      </c>
      <c r="U96" s="33"/>
      <c r="V96" s="33"/>
      <c r="W96" s="33">
        <f>6000</f>
        <v>6000</v>
      </c>
      <c r="X96" s="33"/>
      <c r="Y96" s="33"/>
      <c r="Z96" s="33"/>
      <c r="AA96" s="33"/>
      <c r="AB96" s="34">
        <f>0</f>
        <v>0</v>
      </c>
      <c r="AC96" s="34"/>
    </row>
    <row r="97" spans="1:29" s="1" customFormat="1" ht="13.5" customHeight="1">
      <c r="A97" s="30" t="s">
        <v>99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89</v>
      </c>
      <c r="M97" s="31"/>
      <c r="N97" s="31"/>
      <c r="O97" s="31" t="s">
        <v>164</v>
      </c>
      <c r="P97" s="31"/>
      <c r="Q97" s="31"/>
      <c r="R97" s="32" t="s">
        <v>101</v>
      </c>
      <c r="S97" s="32"/>
      <c r="T97" s="33">
        <f>16790</f>
        <v>16790</v>
      </c>
      <c r="U97" s="33"/>
      <c r="V97" s="33"/>
      <c r="W97" s="33">
        <f>5699.3</f>
        <v>5699.3</v>
      </c>
      <c r="X97" s="33"/>
      <c r="Y97" s="33"/>
      <c r="Z97" s="33"/>
      <c r="AA97" s="33"/>
      <c r="AB97" s="34">
        <f>11090.7</f>
        <v>11090.7</v>
      </c>
      <c r="AC97" s="34"/>
    </row>
    <row r="98" spans="1:29" s="1" customFormat="1" ht="13.5" customHeight="1">
      <c r="A98" s="30" t="s">
        <v>99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89</v>
      </c>
      <c r="M98" s="31"/>
      <c r="N98" s="31"/>
      <c r="O98" s="31" t="s">
        <v>165</v>
      </c>
      <c r="P98" s="31"/>
      <c r="Q98" s="31"/>
      <c r="R98" s="32" t="s">
        <v>101</v>
      </c>
      <c r="S98" s="32"/>
      <c r="T98" s="33">
        <f>524.3</f>
        <v>524.3</v>
      </c>
      <c r="U98" s="33"/>
      <c r="V98" s="33"/>
      <c r="W98" s="35" t="s">
        <v>45</v>
      </c>
      <c r="X98" s="35"/>
      <c r="Y98" s="35"/>
      <c r="Z98" s="35"/>
      <c r="AA98" s="35"/>
      <c r="AB98" s="34">
        <f>524.3</f>
        <v>524.3</v>
      </c>
      <c r="AC98" s="34"/>
    </row>
    <row r="99" spans="1:29" s="1" customFormat="1" ht="13.5" customHeight="1">
      <c r="A99" s="30" t="s">
        <v>99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89</v>
      </c>
      <c r="M99" s="31"/>
      <c r="N99" s="31"/>
      <c r="O99" s="31" t="s">
        <v>166</v>
      </c>
      <c r="P99" s="31"/>
      <c r="Q99" s="31"/>
      <c r="R99" s="32" t="s">
        <v>101</v>
      </c>
      <c r="S99" s="32"/>
      <c r="T99" s="33">
        <f>4200.12</f>
        <v>4200.12</v>
      </c>
      <c r="U99" s="33"/>
      <c r="V99" s="33"/>
      <c r="W99" s="33">
        <f>1950</f>
        <v>1950</v>
      </c>
      <c r="X99" s="33"/>
      <c r="Y99" s="33"/>
      <c r="Z99" s="33"/>
      <c r="AA99" s="33"/>
      <c r="AB99" s="34">
        <f>2250.12</f>
        <v>2250.12</v>
      </c>
      <c r="AC99" s="34"/>
    </row>
    <row r="100" spans="1:29" s="1" customFormat="1" ht="13.5" customHeight="1">
      <c r="A100" s="30" t="s">
        <v>136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89</v>
      </c>
      <c r="M100" s="31"/>
      <c r="N100" s="31"/>
      <c r="O100" s="31" t="s">
        <v>167</v>
      </c>
      <c r="P100" s="31"/>
      <c r="Q100" s="31"/>
      <c r="R100" s="32" t="s">
        <v>137</v>
      </c>
      <c r="S100" s="32"/>
      <c r="T100" s="33">
        <f>270000</f>
        <v>270000</v>
      </c>
      <c r="U100" s="33"/>
      <c r="V100" s="33"/>
      <c r="W100" s="33">
        <f>270000</f>
        <v>270000</v>
      </c>
      <c r="X100" s="33"/>
      <c r="Y100" s="33"/>
      <c r="Z100" s="33"/>
      <c r="AA100" s="33"/>
      <c r="AB100" s="34">
        <f>0</f>
        <v>0</v>
      </c>
      <c r="AC100" s="34"/>
    </row>
    <row r="101" spans="1:29" s="1" customFormat="1" ht="13.5" customHeight="1">
      <c r="A101" s="30" t="s">
        <v>140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89</v>
      </c>
      <c r="M101" s="31"/>
      <c r="N101" s="31"/>
      <c r="O101" s="31" t="s">
        <v>167</v>
      </c>
      <c r="P101" s="31"/>
      <c r="Q101" s="31"/>
      <c r="R101" s="32" t="s">
        <v>141</v>
      </c>
      <c r="S101" s="32"/>
      <c r="T101" s="33">
        <f>30000</f>
        <v>30000</v>
      </c>
      <c r="U101" s="33"/>
      <c r="V101" s="33"/>
      <c r="W101" s="33">
        <f>26482</f>
        <v>26482</v>
      </c>
      <c r="X101" s="33"/>
      <c r="Y101" s="33"/>
      <c r="Z101" s="33"/>
      <c r="AA101" s="33"/>
      <c r="AB101" s="34">
        <f>3518</f>
        <v>3518</v>
      </c>
      <c r="AC101" s="34"/>
    </row>
    <row r="102" spans="1:29" s="1" customFormat="1" ht="24" customHeight="1">
      <c r="A102" s="30" t="s">
        <v>124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89</v>
      </c>
      <c r="M102" s="31"/>
      <c r="N102" s="31"/>
      <c r="O102" s="31" t="s">
        <v>167</v>
      </c>
      <c r="P102" s="31"/>
      <c r="Q102" s="31"/>
      <c r="R102" s="32" t="s">
        <v>125</v>
      </c>
      <c r="S102" s="32"/>
      <c r="T102" s="33">
        <f>10000</f>
        <v>10000</v>
      </c>
      <c r="U102" s="33"/>
      <c r="V102" s="33"/>
      <c r="W102" s="35" t="s">
        <v>45</v>
      </c>
      <c r="X102" s="35"/>
      <c r="Y102" s="35"/>
      <c r="Z102" s="35"/>
      <c r="AA102" s="35"/>
      <c r="AB102" s="34">
        <f>10000</f>
        <v>10000</v>
      </c>
      <c r="AC102" s="34"/>
    </row>
    <row r="103" spans="1:29" s="1" customFormat="1" ht="13.5" customHeight="1">
      <c r="A103" s="30" t="s">
        <v>102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89</v>
      </c>
      <c r="M103" s="31"/>
      <c r="N103" s="31"/>
      <c r="O103" s="31" t="s">
        <v>168</v>
      </c>
      <c r="P103" s="31"/>
      <c r="Q103" s="31"/>
      <c r="R103" s="32" t="s">
        <v>103</v>
      </c>
      <c r="S103" s="32"/>
      <c r="T103" s="33">
        <f>18663.48</f>
        <v>18663.48</v>
      </c>
      <c r="U103" s="33"/>
      <c r="V103" s="33"/>
      <c r="W103" s="35" t="s">
        <v>45</v>
      </c>
      <c r="X103" s="35"/>
      <c r="Y103" s="35"/>
      <c r="Z103" s="35"/>
      <c r="AA103" s="35"/>
      <c r="AB103" s="34">
        <f>18663.48</f>
        <v>18663.48</v>
      </c>
      <c r="AC103" s="34"/>
    </row>
    <row r="104" spans="1:29" s="1" customFormat="1" ht="13.5" customHeight="1">
      <c r="A104" s="30" t="s">
        <v>102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89</v>
      </c>
      <c r="M104" s="31"/>
      <c r="N104" s="31"/>
      <c r="O104" s="31" t="s">
        <v>169</v>
      </c>
      <c r="P104" s="31"/>
      <c r="Q104" s="31"/>
      <c r="R104" s="32" t="s">
        <v>103</v>
      </c>
      <c r="S104" s="32"/>
      <c r="T104" s="33">
        <f>188.52</f>
        <v>188.52</v>
      </c>
      <c r="U104" s="33"/>
      <c r="V104" s="33"/>
      <c r="W104" s="35" t="s">
        <v>45</v>
      </c>
      <c r="X104" s="35"/>
      <c r="Y104" s="35"/>
      <c r="Z104" s="35"/>
      <c r="AA104" s="35"/>
      <c r="AB104" s="34">
        <f>188.52</f>
        <v>188.52</v>
      </c>
      <c r="AC104" s="34"/>
    </row>
    <row r="105" spans="1:29" s="1" customFormat="1" ht="13.5" customHeight="1">
      <c r="A105" s="30" t="s">
        <v>90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89</v>
      </c>
      <c r="M105" s="31"/>
      <c r="N105" s="31"/>
      <c r="O105" s="31" t="s">
        <v>170</v>
      </c>
      <c r="P105" s="31"/>
      <c r="Q105" s="31"/>
      <c r="R105" s="32" t="s">
        <v>92</v>
      </c>
      <c r="S105" s="32"/>
      <c r="T105" s="33">
        <f>445934.24</f>
        <v>445934.24</v>
      </c>
      <c r="U105" s="33"/>
      <c r="V105" s="33"/>
      <c r="W105" s="33">
        <f>335078.39</f>
        <v>335078.39</v>
      </c>
      <c r="X105" s="33"/>
      <c r="Y105" s="33"/>
      <c r="Z105" s="33"/>
      <c r="AA105" s="33"/>
      <c r="AB105" s="34">
        <f>110855.85</f>
        <v>110855.85</v>
      </c>
      <c r="AC105" s="34"/>
    </row>
    <row r="106" spans="1:29" s="1" customFormat="1" ht="13.5" customHeight="1">
      <c r="A106" s="30" t="s">
        <v>93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89</v>
      </c>
      <c r="M106" s="31"/>
      <c r="N106" s="31"/>
      <c r="O106" s="31" t="s">
        <v>171</v>
      </c>
      <c r="P106" s="31"/>
      <c r="Q106" s="31"/>
      <c r="R106" s="32" t="s">
        <v>95</v>
      </c>
      <c r="S106" s="32"/>
      <c r="T106" s="33">
        <f>134645.16</f>
        <v>134645.16</v>
      </c>
      <c r="U106" s="33"/>
      <c r="V106" s="33"/>
      <c r="W106" s="33">
        <f>88441.43</f>
        <v>88441.43</v>
      </c>
      <c r="X106" s="33"/>
      <c r="Y106" s="33"/>
      <c r="Z106" s="33"/>
      <c r="AA106" s="33"/>
      <c r="AB106" s="34">
        <f>46203.73</f>
        <v>46203.73</v>
      </c>
      <c r="AC106" s="34"/>
    </row>
    <row r="107" spans="1:29" s="1" customFormat="1" ht="13.5" customHeight="1">
      <c r="A107" s="30" t="s">
        <v>90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89</v>
      </c>
      <c r="M107" s="31"/>
      <c r="N107" s="31"/>
      <c r="O107" s="31" t="s">
        <v>172</v>
      </c>
      <c r="P107" s="31"/>
      <c r="Q107" s="31"/>
      <c r="R107" s="32" t="s">
        <v>92</v>
      </c>
      <c r="S107" s="32"/>
      <c r="T107" s="33">
        <f>146864.68</f>
        <v>146864.68</v>
      </c>
      <c r="U107" s="33"/>
      <c r="V107" s="33"/>
      <c r="W107" s="33">
        <f>146864.68</f>
        <v>146864.68</v>
      </c>
      <c r="X107" s="33"/>
      <c r="Y107" s="33"/>
      <c r="Z107" s="33"/>
      <c r="AA107" s="33"/>
      <c r="AB107" s="34">
        <f>0</f>
        <v>0</v>
      </c>
      <c r="AC107" s="34"/>
    </row>
    <row r="108" spans="1:29" s="1" customFormat="1" ht="13.5" customHeight="1">
      <c r="A108" s="30" t="s">
        <v>93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89</v>
      </c>
      <c r="M108" s="31"/>
      <c r="N108" s="31"/>
      <c r="O108" s="31" t="s">
        <v>173</v>
      </c>
      <c r="P108" s="31"/>
      <c r="Q108" s="31"/>
      <c r="R108" s="32" t="s">
        <v>95</v>
      </c>
      <c r="S108" s="32"/>
      <c r="T108" s="33">
        <f>44352.92</f>
        <v>44352.92</v>
      </c>
      <c r="U108" s="33"/>
      <c r="V108" s="33"/>
      <c r="W108" s="33">
        <f>44352.91</f>
        <v>44352.91</v>
      </c>
      <c r="X108" s="33"/>
      <c r="Y108" s="33"/>
      <c r="Z108" s="33"/>
      <c r="AA108" s="33"/>
      <c r="AB108" s="34">
        <f>0.01</f>
        <v>0.01</v>
      </c>
      <c r="AC108" s="34"/>
    </row>
    <row r="109" spans="1:29" s="1" customFormat="1" ht="13.5" customHeight="1">
      <c r="A109" s="30" t="s">
        <v>90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89</v>
      </c>
      <c r="M109" s="31"/>
      <c r="N109" s="31"/>
      <c r="O109" s="31" t="s">
        <v>174</v>
      </c>
      <c r="P109" s="31"/>
      <c r="Q109" s="31"/>
      <c r="R109" s="32" t="s">
        <v>92</v>
      </c>
      <c r="S109" s="32"/>
      <c r="T109" s="33">
        <f>691089.96</f>
        <v>691089.96</v>
      </c>
      <c r="U109" s="33"/>
      <c r="V109" s="33"/>
      <c r="W109" s="33">
        <f>520203.66</f>
        <v>520203.66</v>
      </c>
      <c r="X109" s="33"/>
      <c r="Y109" s="33"/>
      <c r="Z109" s="33"/>
      <c r="AA109" s="33"/>
      <c r="AB109" s="34">
        <f>170886.3</f>
        <v>170886.3</v>
      </c>
      <c r="AC109" s="34"/>
    </row>
    <row r="110" spans="1:29" s="1" customFormat="1" ht="13.5" customHeight="1">
      <c r="A110" s="30" t="s">
        <v>93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89</v>
      </c>
      <c r="M110" s="31"/>
      <c r="N110" s="31"/>
      <c r="O110" s="31" t="s">
        <v>175</v>
      </c>
      <c r="P110" s="31"/>
      <c r="Q110" s="31"/>
      <c r="R110" s="32" t="s">
        <v>95</v>
      </c>
      <c r="S110" s="32"/>
      <c r="T110" s="33">
        <f>229989.97</f>
        <v>229989.97</v>
      </c>
      <c r="U110" s="33"/>
      <c r="V110" s="33"/>
      <c r="W110" s="33">
        <f>174290.54</f>
        <v>174290.54</v>
      </c>
      <c r="X110" s="33"/>
      <c r="Y110" s="33"/>
      <c r="Z110" s="33"/>
      <c r="AA110" s="33"/>
      <c r="AB110" s="34">
        <f>55699.43</f>
        <v>55699.43</v>
      </c>
      <c r="AC110" s="34"/>
    </row>
    <row r="111" spans="1:29" s="1" customFormat="1" ht="13.5" customHeight="1">
      <c r="A111" s="30" t="s">
        <v>136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89</v>
      </c>
      <c r="M111" s="31"/>
      <c r="N111" s="31"/>
      <c r="O111" s="31" t="s">
        <v>176</v>
      </c>
      <c r="P111" s="31"/>
      <c r="Q111" s="31"/>
      <c r="R111" s="32" t="s">
        <v>137</v>
      </c>
      <c r="S111" s="32"/>
      <c r="T111" s="33">
        <f>3214748.74</f>
        <v>3214748.74</v>
      </c>
      <c r="U111" s="33"/>
      <c r="V111" s="33"/>
      <c r="W111" s="33">
        <f>1604734.51</f>
        <v>1604734.51</v>
      </c>
      <c r="X111" s="33"/>
      <c r="Y111" s="33"/>
      <c r="Z111" s="33"/>
      <c r="AA111" s="33"/>
      <c r="AB111" s="34">
        <f>1610014.23</f>
        <v>1610014.23</v>
      </c>
      <c r="AC111" s="34"/>
    </row>
    <row r="112" spans="1:29" s="1" customFormat="1" ht="13.5" customHeight="1">
      <c r="A112" s="30" t="s">
        <v>136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89</v>
      </c>
      <c r="M112" s="31"/>
      <c r="N112" s="31"/>
      <c r="O112" s="31" t="s">
        <v>177</v>
      </c>
      <c r="P112" s="31"/>
      <c r="Q112" s="31"/>
      <c r="R112" s="32" t="s">
        <v>137</v>
      </c>
      <c r="S112" s="32"/>
      <c r="T112" s="33">
        <f>1112100</f>
        <v>1112100</v>
      </c>
      <c r="U112" s="33"/>
      <c r="V112" s="33"/>
      <c r="W112" s="33">
        <f>471259</f>
        <v>471259</v>
      </c>
      <c r="X112" s="33"/>
      <c r="Y112" s="33"/>
      <c r="Z112" s="33"/>
      <c r="AA112" s="33"/>
      <c r="AB112" s="34">
        <f>640841</f>
        <v>640841</v>
      </c>
      <c r="AC112" s="34"/>
    </row>
    <row r="113" spans="1:29" s="1" customFormat="1" ht="13.5" customHeight="1">
      <c r="A113" s="30" t="s">
        <v>122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89</v>
      </c>
      <c r="M113" s="31"/>
      <c r="N113" s="31"/>
      <c r="O113" s="31" t="s">
        <v>177</v>
      </c>
      <c r="P113" s="31"/>
      <c r="Q113" s="31"/>
      <c r="R113" s="32" t="s">
        <v>123</v>
      </c>
      <c r="S113" s="32"/>
      <c r="T113" s="33">
        <f>160000</f>
        <v>160000</v>
      </c>
      <c r="U113" s="33"/>
      <c r="V113" s="33"/>
      <c r="W113" s="33">
        <f>1020</f>
        <v>1020</v>
      </c>
      <c r="X113" s="33"/>
      <c r="Y113" s="33"/>
      <c r="Z113" s="33"/>
      <c r="AA113" s="33"/>
      <c r="AB113" s="34">
        <f>158980</f>
        <v>158980</v>
      </c>
      <c r="AC113" s="34"/>
    </row>
    <row r="114" spans="1:29" s="1" customFormat="1" ht="13.5" customHeight="1">
      <c r="A114" s="30" t="s">
        <v>120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89</v>
      </c>
      <c r="M114" s="31"/>
      <c r="N114" s="31"/>
      <c r="O114" s="31" t="s">
        <v>178</v>
      </c>
      <c r="P114" s="31"/>
      <c r="Q114" s="31"/>
      <c r="R114" s="32" t="s">
        <v>121</v>
      </c>
      <c r="S114" s="32"/>
      <c r="T114" s="33">
        <f>250000</f>
        <v>250000</v>
      </c>
      <c r="U114" s="33"/>
      <c r="V114" s="33"/>
      <c r="W114" s="33">
        <f>236200.1</f>
        <v>236200.1</v>
      </c>
      <c r="X114" s="33"/>
      <c r="Y114" s="33"/>
      <c r="Z114" s="33"/>
      <c r="AA114" s="33"/>
      <c r="AB114" s="34">
        <f>13799.9</f>
        <v>13799.9</v>
      </c>
      <c r="AC114" s="34"/>
    </row>
    <row r="115" spans="1:29" s="1" customFormat="1" ht="13.5" customHeight="1">
      <c r="A115" s="30" t="s">
        <v>105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89</v>
      </c>
      <c r="M115" s="31"/>
      <c r="N115" s="31"/>
      <c r="O115" s="31" t="s">
        <v>179</v>
      </c>
      <c r="P115" s="31"/>
      <c r="Q115" s="31"/>
      <c r="R115" s="32" t="s">
        <v>107</v>
      </c>
      <c r="S115" s="32"/>
      <c r="T115" s="33">
        <f>750000</f>
        <v>750000</v>
      </c>
      <c r="U115" s="33"/>
      <c r="V115" s="33"/>
      <c r="W115" s="33">
        <f>750000</f>
        <v>750000</v>
      </c>
      <c r="X115" s="33"/>
      <c r="Y115" s="33"/>
      <c r="Z115" s="33"/>
      <c r="AA115" s="33"/>
      <c r="AB115" s="34">
        <f>0</f>
        <v>0</v>
      </c>
      <c r="AC115" s="34"/>
    </row>
    <row r="116" spans="1:29" s="1" customFormat="1" ht="13.5" customHeight="1">
      <c r="A116" s="30" t="s">
        <v>102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89</v>
      </c>
      <c r="M116" s="31"/>
      <c r="N116" s="31"/>
      <c r="O116" s="31" t="s">
        <v>180</v>
      </c>
      <c r="P116" s="31"/>
      <c r="Q116" s="31"/>
      <c r="R116" s="32" t="s">
        <v>103</v>
      </c>
      <c r="S116" s="32"/>
      <c r="T116" s="33">
        <f>350000</f>
        <v>350000</v>
      </c>
      <c r="U116" s="33"/>
      <c r="V116" s="33"/>
      <c r="W116" s="33">
        <f>316313</f>
        <v>316313</v>
      </c>
      <c r="X116" s="33"/>
      <c r="Y116" s="33"/>
      <c r="Z116" s="33"/>
      <c r="AA116" s="33"/>
      <c r="AB116" s="34">
        <f>33687</f>
        <v>33687</v>
      </c>
      <c r="AC116" s="34"/>
    </row>
    <row r="117" spans="1:29" s="1" customFormat="1" ht="13.5" customHeight="1">
      <c r="A117" s="30" t="s">
        <v>136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89</v>
      </c>
      <c r="M117" s="31"/>
      <c r="N117" s="31"/>
      <c r="O117" s="31" t="s">
        <v>181</v>
      </c>
      <c r="P117" s="31"/>
      <c r="Q117" s="31"/>
      <c r="R117" s="32" t="s">
        <v>137</v>
      </c>
      <c r="S117" s="32"/>
      <c r="T117" s="33">
        <f>17558.49</f>
        <v>17558.49</v>
      </c>
      <c r="U117" s="33"/>
      <c r="V117" s="33"/>
      <c r="W117" s="33">
        <f>17558.49</f>
        <v>17558.49</v>
      </c>
      <c r="X117" s="33"/>
      <c r="Y117" s="33"/>
      <c r="Z117" s="33"/>
      <c r="AA117" s="33"/>
      <c r="AB117" s="34">
        <f>0</f>
        <v>0</v>
      </c>
      <c r="AC117" s="34"/>
    </row>
    <row r="118" spans="1:29" s="1" customFormat="1" ht="13.5" customHeight="1">
      <c r="A118" s="30" t="s">
        <v>102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89</v>
      </c>
      <c r="M118" s="31"/>
      <c r="N118" s="31"/>
      <c r="O118" s="31" t="s">
        <v>181</v>
      </c>
      <c r="P118" s="31"/>
      <c r="Q118" s="31"/>
      <c r="R118" s="32" t="s">
        <v>103</v>
      </c>
      <c r="S118" s="32"/>
      <c r="T118" s="33">
        <f>54900</f>
        <v>54900</v>
      </c>
      <c r="U118" s="33"/>
      <c r="V118" s="33"/>
      <c r="W118" s="33">
        <f>30900</f>
        <v>30900</v>
      </c>
      <c r="X118" s="33"/>
      <c r="Y118" s="33"/>
      <c r="Z118" s="33"/>
      <c r="AA118" s="33"/>
      <c r="AB118" s="34">
        <f>24000</f>
        <v>24000</v>
      </c>
      <c r="AC118" s="34"/>
    </row>
    <row r="119" spans="1:29" s="1" customFormat="1" ht="13.5" customHeight="1">
      <c r="A119" s="30" t="s">
        <v>122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89</v>
      </c>
      <c r="M119" s="31"/>
      <c r="N119" s="31"/>
      <c r="O119" s="31" t="s">
        <v>181</v>
      </c>
      <c r="P119" s="31"/>
      <c r="Q119" s="31"/>
      <c r="R119" s="32" t="s">
        <v>123</v>
      </c>
      <c r="S119" s="32"/>
      <c r="T119" s="33">
        <f>2290</f>
        <v>2290</v>
      </c>
      <c r="U119" s="33"/>
      <c r="V119" s="33"/>
      <c r="W119" s="33">
        <f>2290</f>
        <v>2290</v>
      </c>
      <c r="X119" s="33"/>
      <c r="Y119" s="33"/>
      <c r="Z119" s="33"/>
      <c r="AA119" s="33"/>
      <c r="AB119" s="34">
        <f>0</f>
        <v>0</v>
      </c>
      <c r="AC119" s="34"/>
    </row>
    <row r="120" spans="1:29" s="1" customFormat="1" ht="13.5" customHeight="1">
      <c r="A120" s="30" t="s">
        <v>115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89</v>
      </c>
      <c r="M120" s="31"/>
      <c r="N120" s="31"/>
      <c r="O120" s="31" t="s">
        <v>182</v>
      </c>
      <c r="P120" s="31"/>
      <c r="Q120" s="31"/>
      <c r="R120" s="32" t="s">
        <v>117</v>
      </c>
      <c r="S120" s="32"/>
      <c r="T120" s="33">
        <f>109855</f>
        <v>109855</v>
      </c>
      <c r="U120" s="33"/>
      <c r="V120" s="33"/>
      <c r="W120" s="33">
        <f>80574.67</f>
        <v>80574.67</v>
      </c>
      <c r="X120" s="33"/>
      <c r="Y120" s="33"/>
      <c r="Z120" s="33"/>
      <c r="AA120" s="33"/>
      <c r="AB120" s="34">
        <f>29280.33</f>
        <v>29280.33</v>
      </c>
      <c r="AC120" s="34"/>
    </row>
    <row r="121" spans="1:29" s="1" customFormat="1" ht="13.5" customHeight="1">
      <c r="A121" s="30" t="s">
        <v>122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89</v>
      </c>
      <c r="M121" s="31"/>
      <c r="N121" s="31"/>
      <c r="O121" s="31" t="s">
        <v>182</v>
      </c>
      <c r="P121" s="31"/>
      <c r="Q121" s="31"/>
      <c r="R121" s="32" t="s">
        <v>123</v>
      </c>
      <c r="S121" s="32"/>
      <c r="T121" s="33">
        <f>207654.8</f>
        <v>207654.8</v>
      </c>
      <c r="U121" s="33"/>
      <c r="V121" s="33"/>
      <c r="W121" s="33">
        <f>207654.8</f>
        <v>207654.8</v>
      </c>
      <c r="X121" s="33"/>
      <c r="Y121" s="33"/>
      <c r="Z121" s="33"/>
      <c r="AA121" s="33"/>
      <c r="AB121" s="34">
        <f>0</f>
        <v>0</v>
      </c>
      <c r="AC121" s="34"/>
    </row>
    <row r="122" spans="1:29" s="1" customFormat="1" ht="13.5" customHeight="1">
      <c r="A122" s="30" t="s">
        <v>132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89</v>
      </c>
      <c r="M122" s="31"/>
      <c r="N122" s="31"/>
      <c r="O122" s="31" t="s">
        <v>183</v>
      </c>
      <c r="P122" s="31"/>
      <c r="Q122" s="31"/>
      <c r="R122" s="32" t="s">
        <v>133</v>
      </c>
      <c r="S122" s="32"/>
      <c r="T122" s="33">
        <f>24000</f>
        <v>24000</v>
      </c>
      <c r="U122" s="33"/>
      <c r="V122" s="33"/>
      <c r="W122" s="33">
        <f>24000</f>
        <v>24000</v>
      </c>
      <c r="X122" s="33"/>
      <c r="Y122" s="33"/>
      <c r="Z122" s="33"/>
      <c r="AA122" s="33"/>
      <c r="AB122" s="34">
        <f>0</f>
        <v>0</v>
      </c>
      <c r="AC122" s="34"/>
    </row>
    <row r="123" spans="1:29" s="1" customFormat="1" ht="13.5" customHeight="1">
      <c r="A123" s="30" t="s">
        <v>120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89</v>
      </c>
      <c r="M123" s="31"/>
      <c r="N123" s="31"/>
      <c r="O123" s="31" t="s">
        <v>183</v>
      </c>
      <c r="P123" s="31"/>
      <c r="Q123" s="31"/>
      <c r="R123" s="32" t="s">
        <v>121</v>
      </c>
      <c r="S123" s="32"/>
      <c r="T123" s="33">
        <f>95400</f>
        <v>95400</v>
      </c>
      <c r="U123" s="33"/>
      <c r="V123" s="33"/>
      <c r="W123" s="33">
        <f>95400</f>
        <v>95400</v>
      </c>
      <c r="X123" s="33"/>
      <c r="Y123" s="33"/>
      <c r="Z123" s="33"/>
      <c r="AA123" s="33"/>
      <c r="AB123" s="34">
        <f>0</f>
        <v>0</v>
      </c>
      <c r="AC123" s="34"/>
    </row>
    <row r="124" spans="1:29" s="1" customFormat="1" ht="13.5" customHeight="1">
      <c r="A124" s="30" t="s">
        <v>102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89</v>
      </c>
      <c r="M124" s="31"/>
      <c r="N124" s="31"/>
      <c r="O124" s="31" t="s">
        <v>184</v>
      </c>
      <c r="P124" s="31"/>
      <c r="Q124" s="31"/>
      <c r="R124" s="32" t="s">
        <v>103</v>
      </c>
      <c r="S124" s="32"/>
      <c r="T124" s="33">
        <f>180600</f>
        <v>180600</v>
      </c>
      <c r="U124" s="33"/>
      <c r="V124" s="33"/>
      <c r="W124" s="33">
        <f>130395.31</f>
        <v>130395.31</v>
      </c>
      <c r="X124" s="33"/>
      <c r="Y124" s="33"/>
      <c r="Z124" s="33"/>
      <c r="AA124" s="33"/>
      <c r="AB124" s="34">
        <f>50204.69</f>
        <v>50204.69</v>
      </c>
      <c r="AC124" s="34"/>
    </row>
    <row r="125" spans="1:29" s="1" customFormat="1" ht="13.5" customHeight="1">
      <c r="A125" s="30" t="s">
        <v>134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89</v>
      </c>
      <c r="M125" s="31"/>
      <c r="N125" s="31"/>
      <c r="O125" s="31" t="s">
        <v>185</v>
      </c>
      <c r="P125" s="31"/>
      <c r="Q125" s="31"/>
      <c r="R125" s="32" t="s">
        <v>135</v>
      </c>
      <c r="S125" s="32"/>
      <c r="T125" s="33">
        <f>180351.96</f>
        <v>180351.96</v>
      </c>
      <c r="U125" s="33"/>
      <c r="V125" s="33"/>
      <c r="W125" s="33">
        <f>180351.96</f>
        <v>180351.96</v>
      </c>
      <c r="X125" s="33"/>
      <c r="Y125" s="33"/>
      <c r="Z125" s="33"/>
      <c r="AA125" s="33"/>
      <c r="AB125" s="34">
        <f>0</f>
        <v>0</v>
      </c>
      <c r="AC125" s="34"/>
    </row>
    <row r="126" spans="1:29" s="1" customFormat="1" ht="13.5" customHeight="1">
      <c r="A126" s="30" t="s">
        <v>134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89</v>
      </c>
      <c r="M126" s="31"/>
      <c r="N126" s="31"/>
      <c r="O126" s="31" t="s">
        <v>186</v>
      </c>
      <c r="P126" s="31"/>
      <c r="Q126" s="31"/>
      <c r="R126" s="32" t="s">
        <v>135</v>
      </c>
      <c r="S126" s="32"/>
      <c r="T126" s="33">
        <f>2000</f>
        <v>2000</v>
      </c>
      <c r="U126" s="33"/>
      <c r="V126" s="33"/>
      <c r="W126" s="33">
        <f>415.38</f>
        <v>415.38</v>
      </c>
      <c r="X126" s="33"/>
      <c r="Y126" s="33"/>
      <c r="Z126" s="33"/>
      <c r="AA126" s="33"/>
      <c r="AB126" s="34">
        <f>1584.62</f>
        <v>1584.62</v>
      </c>
      <c r="AC126" s="34"/>
    </row>
    <row r="127" spans="1:29" s="1" customFormat="1" ht="13.5" customHeight="1">
      <c r="A127" s="30" t="s">
        <v>136</v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1" t="s">
        <v>89</v>
      </c>
      <c r="M127" s="31"/>
      <c r="N127" s="31"/>
      <c r="O127" s="31" t="s">
        <v>186</v>
      </c>
      <c r="P127" s="31"/>
      <c r="Q127" s="31"/>
      <c r="R127" s="32" t="s">
        <v>137</v>
      </c>
      <c r="S127" s="32"/>
      <c r="T127" s="33">
        <f>10974.53</f>
        <v>10974.53</v>
      </c>
      <c r="U127" s="33"/>
      <c r="V127" s="33"/>
      <c r="W127" s="33">
        <f>10974.53</f>
        <v>10974.53</v>
      </c>
      <c r="X127" s="33"/>
      <c r="Y127" s="33"/>
      <c r="Z127" s="33"/>
      <c r="AA127" s="33"/>
      <c r="AB127" s="34">
        <f>0</f>
        <v>0</v>
      </c>
      <c r="AC127" s="34"/>
    </row>
    <row r="128" spans="1:29" s="1" customFormat="1" ht="13.5" customHeight="1">
      <c r="A128" s="30" t="s">
        <v>136</v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1" t="s">
        <v>89</v>
      </c>
      <c r="M128" s="31"/>
      <c r="N128" s="31"/>
      <c r="O128" s="31" t="s">
        <v>187</v>
      </c>
      <c r="P128" s="31"/>
      <c r="Q128" s="31"/>
      <c r="R128" s="32" t="s">
        <v>137</v>
      </c>
      <c r="S128" s="32"/>
      <c r="T128" s="33">
        <f>100000</f>
        <v>100000</v>
      </c>
      <c r="U128" s="33"/>
      <c r="V128" s="33"/>
      <c r="W128" s="33">
        <f>65609.28</f>
        <v>65609.28</v>
      </c>
      <c r="X128" s="33"/>
      <c r="Y128" s="33"/>
      <c r="Z128" s="33"/>
      <c r="AA128" s="33"/>
      <c r="AB128" s="34">
        <f>34390.72</f>
        <v>34390.72</v>
      </c>
      <c r="AC128" s="34"/>
    </row>
    <row r="129" spans="1:29" s="1" customFormat="1" ht="13.5" customHeight="1">
      <c r="A129" s="30" t="s">
        <v>134</v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1" t="s">
        <v>89</v>
      </c>
      <c r="M129" s="31"/>
      <c r="N129" s="31"/>
      <c r="O129" s="31" t="s">
        <v>188</v>
      </c>
      <c r="P129" s="31"/>
      <c r="Q129" s="31"/>
      <c r="R129" s="32" t="s">
        <v>135</v>
      </c>
      <c r="S129" s="32"/>
      <c r="T129" s="33">
        <f>1919648.04</f>
        <v>1919648.04</v>
      </c>
      <c r="U129" s="33"/>
      <c r="V129" s="33"/>
      <c r="W129" s="33">
        <f>824305.15</f>
        <v>824305.15</v>
      </c>
      <c r="X129" s="33"/>
      <c r="Y129" s="33"/>
      <c r="Z129" s="33"/>
      <c r="AA129" s="33"/>
      <c r="AB129" s="34">
        <f>1095342.89</f>
        <v>1095342.89</v>
      </c>
      <c r="AC129" s="34"/>
    </row>
    <row r="130" spans="1:29" s="1" customFormat="1" ht="13.5" customHeight="1">
      <c r="A130" s="30" t="s">
        <v>122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1" t="s">
        <v>89</v>
      </c>
      <c r="M130" s="31"/>
      <c r="N130" s="31"/>
      <c r="O130" s="31" t="s">
        <v>189</v>
      </c>
      <c r="P130" s="31"/>
      <c r="Q130" s="31"/>
      <c r="R130" s="32" t="s">
        <v>123</v>
      </c>
      <c r="S130" s="32"/>
      <c r="T130" s="33">
        <f>162000</f>
        <v>162000</v>
      </c>
      <c r="U130" s="33"/>
      <c r="V130" s="33"/>
      <c r="W130" s="33">
        <f>162000</f>
        <v>162000</v>
      </c>
      <c r="X130" s="33"/>
      <c r="Y130" s="33"/>
      <c r="Z130" s="33"/>
      <c r="AA130" s="33"/>
      <c r="AB130" s="34">
        <f aca="true" t="shared" si="1" ref="AB130:AB138">0</f>
        <v>0</v>
      </c>
      <c r="AC130" s="34"/>
    </row>
    <row r="131" spans="1:29" s="1" customFormat="1" ht="13.5" customHeight="1">
      <c r="A131" s="30" t="s">
        <v>122</v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1" t="s">
        <v>89</v>
      </c>
      <c r="M131" s="31"/>
      <c r="N131" s="31"/>
      <c r="O131" s="31" t="s">
        <v>190</v>
      </c>
      <c r="P131" s="31"/>
      <c r="Q131" s="31"/>
      <c r="R131" s="32" t="s">
        <v>123</v>
      </c>
      <c r="S131" s="32"/>
      <c r="T131" s="33">
        <f>30000</f>
        <v>30000</v>
      </c>
      <c r="U131" s="33"/>
      <c r="V131" s="33"/>
      <c r="W131" s="33">
        <f>30000</f>
        <v>30000</v>
      </c>
      <c r="X131" s="33"/>
      <c r="Y131" s="33"/>
      <c r="Z131" s="33"/>
      <c r="AA131" s="33"/>
      <c r="AB131" s="34">
        <f t="shared" si="1"/>
        <v>0</v>
      </c>
      <c r="AC131" s="34"/>
    </row>
    <row r="132" spans="1:29" s="1" customFormat="1" ht="13.5" customHeight="1">
      <c r="A132" s="30" t="s">
        <v>120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1" t="s">
        <v>89</v>
      </c>
      <c r="M132" s="31"/>
      <c r="N132" s="31"/>
      <c r="O132" s="31" t="s">
        <v>191</v>
      </c>
      <c r="P132" s="31"/>
      <c r="Q132" s="31"/>
      <c r="R132" s="32" t="s">
        <v>121</v>
      </c>
      <c r="S132" s="32"/>
      <c r="T132" s="33">
        <f>5785</f>
        <v>5785</v>
      </c>
      <c r="U132" s="33"/>
      <c r="V132" s="33"/>
      <c r="W132" s="33">
        <f>5785</f>
        <v>5785</v>
      </c>
      <c r="X132" s="33"/>
      <c r="Y132" s="33"/>
      <c r="Z132" s="33"/>
      <c r="AA132" s="33"/>
      <c r="AB132" s="34">
        <f t="shared" si="1"/>
        <v>0</v>
      </c>
      <c r="AC132" s="34"/>
    </row>
    <row r="133" spans="1:29" s="1" customFormat="1" ht="13.5" customHeight="1">
      <c r="A133" s="30" t="s">
        <v>136</v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1" t="s">
        <v>89</v>
      </c>
      <c r="M133" s="31"/>
      <c r="N133" s="31"/>
      <c r="O133" s="31" t="s">
        <v>192</v>
      </c>
      <c r="P133" s="31"/>
      <c r="Q133" s="31"/>
      <c r="R133" s="32" t="s">
        <v>137</v>
      </c>
      <c r="S133" s="32"/>
      <c r="T133" s="33">
        <f>64732.05</f>
        <v>64732.05</v>
      </c>
      <c r="U133" s="33"/>
      <c r="V133" s="33"/>
      <c r="W133" s="33">
        <f>64732.05</f>
        <v>64732.05</v>
      </c>
      <c r="X133" s="33"/>
      <c r="Y133" s="33"/>
      <c r="Z133" s="33"/>
      <c r="AA133" s="33"/>
      <c r="AB133" s="34">
        <f t="shared" si="1"/>
        <v>0</v>
      </c>
      <c r="AC133" s="34"/>
    </row>
    <row r="134" spans="1:29" s="1" customFormat="1" ht="13.5" customHeight="1">
      <c r="A134" s="30" t="s">
        <v>102</v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1" t="s">
        <v>89</v>
      </c>
      <c r="M134" s="31"/>
      <c r="N134" s="31"/>
      <c r="O134" s="31" t="s">
        <v>192</v>
      </c>
      <c r="P134" s="31"/>
      <c r="Q134" s="31"/>
      <c r="R134" s="32" t="s">
        <v>103</v>
      </c>
      <c r="S134" s="32"/>
      <c r="T134" s="33">
        <f>6000</f>
        <v>6000</v>
      </c>
      <c r="U134" s="33"/>
      <c r="V134" s="33"/>
      <c r="W134" s="33">
        <f>6000</f>
        <v>6000</v>
      </c>
      <c r="X134" s="33"/>
      <c r="Y134" s="33"/>
      <c r="Z134" s="33"/>
      <c r="AA134" s="33"/>
      <c r="AB134" s="34">
        <f t="shared" si="1"/>
        <v>0</v>
      </c>
      <c r="AC134" s="34"/>
    </row>
    <row r="135" spans="1:29" s="1" customFormat="1" ht="13.5" customHeight="1">
      <c r="A135" s="30" t="s">
        <v>122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89</v>
      </c>
      <c r="M135" s="31"/>
      <c r="N135" s="31"/>
      <c r="O135" s="31" t="s">
        <v>193</v>
      </c>
      <c r="P135" s="31"/>
      <c r="Q135" s="31"/>
      <c r="R135" s="32" t="s">
        <v>123</v>
      </c>
      <c r="S135" s="32"/>
      <c r="T135" s="33">
        <f>15634</f>
        <v>15634</v>
      </c>
      <c r="U135" s="33"/>
      <c r="V135" s="33"/>
      <c r="W135" s="33">
        <f>15634</f>
        <v>15634</v>
      </c>
      <c r="X135" s="33"/>
      <c r="Y135" s="33"/>
      <c r="Z135" s="33"/>
      <c r="AA135" s="33"/>
      <c r="AB135" s="34">
        <f t="shared" si="1"/>
        <v>0</v>
      </c>
      <c r="AC135" s="34"/>
    </row>
    <row r="136" spans="1:29" s="1" customFormat="1" ht="13.5" customHeight="1">
      <c r="A136" s="30" t="s">
        <v>132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1" t="s">
        <v>89</v>
      </c>
      <c r="M136" s="31"/>
      <c r="N136" s="31"/>
      <c r="O136" s="31" t="s">
        <v>194</v>
      </c>
      <c r="P136" s="31"/>
      <c r="Q136" s="31"/>
      <c r="R136" s="32" t="s">
        <v>133</v>
      </c>
      <c r="S136" s="32"/>
      <c r="T136" s="33">
        <f>5000</f>
        <v>5000</v>
      </c>
      <c r="U136" s="33"/>
      <c r="V136" s="33"/>
      <c r="W136" s="33">
        <f>5000</f>
        <v>5000</v>
      </c>
      <c r="X136" s="33"/>
      <c r="Y136" s="33"/>
      <c r="Z136" s="33"/>
      <c r="AA136" s="33"/>
      <c r="AB136" s="34">
        <f t="shared" si="1"/>
        <v>0</v>
      </c>
      <c r="AC136" s="34"/>
    </row>
    <row r="137" spans="1:29" s="1" customFormat="1" ht="13.5" customHeight="1">
      <c r="A137" s="30" t="s">
        <v>136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89</v>
      </c>
      <c r="M137" s="31"/>
      <c r="N137" s="31"/>
      <c r="O137" s="31" t="s">
        <v>194</v>
      </c>
      <c r="P137" s="31"/>
      <c r="Q137" s="31"/>
      <c r="R137" s="32" t="s">
        <v>137</v>
      </c>
      <c r="S137" s="32"/>
      <c r="T137" s="33">
        <f>200000</f>
        <v>200000</v>
      </c>
      <c r="U137" s="33"/>
      <c r="V137" s="33"/>
      <c r="W137" s="33">
        <f>200000</f>
        <v>200000</v>
      </c>
      <c r="X137" s="33"/>
      <c r="Y137" s="33"/>
      <c r="Z137" s="33"/>
      <c r="AA137" s="33"/>
      <c r="AB137" s="34">
        <f t="shared" si="1"/>
        <v>0</v>
      </c>
      <c r="AC137" s="34"/>
    </row>
    <row r="138" spans="1:29" s="1" customFormat="1" ht="13.5" customHeight="1">
      <c r="A138" s="30" t="s">
        <v>140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89</v>
      </c>
      <c r="M138" s="31"/>
      <c r="N138" s="31"/>
      <c r="O138" s="31" t="s">
        <v>194</v>
      </c>
      <c r="P138" s="31"/>
      <c r="Q138" s="31"/>
      <c r="R138" s="32" t="s">
        <v>141</v>
      </c>
      <c r="S138" s="32"/>
      <c r="T138" s="33">
        <f>32050</f>
        <v>32050</v>
      </c>
      <c r="U138" s="33"/>
      <c r="V138" s="33"/>
      <c r="W138" s="33">
        <f>32050</f>
        <v>32050</v>
      </c>
      <c r="X138" s="33"/>
      <c r="Y138" s="33"/>
      <c r="Z138" s="33"/>
      <c r="AA138" s="33"/>
      <c r="AB138" s="34">
        <f t="shared" si="1"/>
        <v>0</v>
      </c>
      <c r="AC138" s="34"/>
    </row>
    <row r="139" spans="1:29" s="1" customFormat="1" ht="13.5" customHeight="1">
      <c r="A139" s="30" t="s">
        <v>118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89</v>
      </c>
      <c r="M139" s="31"/>
      <c r="N139" s="31"/>
      <c r="O139" s="31" t="s">
        <v>194</v>
      </c>
      <c r="P139" s="31"/>
      <c r="Q139" s="31"/>
      <c r="R139" s="32" t="s">
        <v>119</v>
      </c>
      <c r="S139" s="32"/>
      <c r="T139" s="33">
        <f>1330</f>
        <v>1330</v>
      </c>
      <c r="U139" s="33"/>
      <c r="V139" s="33"/>
      <c r="W139" s="33">
        <f>1080</f>
        <v>1080</v>
      </c>
      <c r="X139" s="33"/>
      <c r="Y139" s="33"/>
      <c r="Z139" s="33"/>
      <c r="AA139" s="33"/>
      <c r="AB139" s="34">
        <f>250</f>
        <v>250</v>
      </c>
      <c r="AC139" s="34"/>
    </row>
    <row r="140" spans="1:29" s="1" customFormat="1" ht="13.5" customHeight="1">
      <c r="A140" s="30" t="s">
        <v>120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89</v>
      </c>
      <c r="M140" s="31"/>
      <c r="N140" s="31"/>
      <c r="O140" s="31" t="s">
        <v>194</v>
      </c>
      <c r="P140" s="31"/>
      <c r="Q140" s="31"/>
      <c r="R140" s="32" t="s">
        <v>121</v>
      </c>
      <c r="S140" s="32"/>
      <c r="T140" s="33">
        <f>46118</f>
        <v>46118</v>
      </c>
      <c r="U140" s="33"/>
      <c r="V140" s="33"/>
      <c r="W140" s="33">
        <f>43720</f>
        <v>43720</v>
      </c>
      <c r="X140" s="33"/>
      <c r="Y140" s="33"/>
      <c r="Z140" s="33"/>
      <c r="AA140" s="33"/>
      <c r="AB140" s="34">
        <f>2398</f>
        <v>2398</v>
      </c>
      <c r="AC140" s="34"/>
    </row>
    <row r="141" spans="1:29" s="1" customFormat="1" ht="13.5" customHeight="1">
      <c r="A141" s="30" t="s">
        <v>142</v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1" t="s">
        <v>89</v>
      </c>
      <c r="M141" s="31"/>
      <c r="N141" s="31"/>
      <c r="O141" s="31" t="s">
        <v>194</v>
      </c>
      <c r="P141" s="31"/>
      <c r="Q141" s="31"/>
      <c r="R141" s="32" t="s">
        <v>143</v>
      </c>
      <c r="S141" s="32"/>
      <c r="T141" s="33">
        <f>1035</f>
        <v>1035</v>
      </c>
      <c r="U141" s="33"/>
      <c r="V141" s="33"/>
      <c r="W141" s="33">
        <f>975</f>
        <v>975</v>
      </c>
      <c r="X141" s="33"/>
      <c r="Y141" s="33"/>
      <c r="Z141" s="33"/>
      <c r="AA141" s="33"/>
      <c r="AB141" s="34">
        <f>60</f>
        <v>60</v>
      </c>
      <c r="AC141" s="34"/>
    </row>
    <row r="142" spans="1:29" s="1" customFormat="1" ht="13.5" customHeight="1">
      <c r="A142" s="30" t="s">
        <v>122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1" t="s">
        <v>89</v>
      </c>
      <c r="M142" s="31"/>
      <c r="N142" s="31"/>
      <c r="O142" s="31" t="s">
        <v>194</v>
      </c>
      <c r="P142" s="31"/>
      <c r="Q142" s="31"/>
      <c r="R142" s="32" t="s">
        <v>123</v>
      </c>
      <c r="S142" s="32"/>
      <c r="T142" s="33">
        <f>39987</f>
        <v>39987</v>
      </c>
      <c r="U142" s="33"/>
      <c r="V142" s="33"/>
      <c r="W142" s="33">
        <f>34987</f>
        <v>34987</v>
      </c>
      <c r="X142" s="33"/>
      <c r="Y142" s="33"/>
      <c r="Z142" s="33"/>
      <c r="AA142" s="33"/>
      <c r="AB142" s="34">
        <f>5000</f>
        <v>5000</v>
      </c>
      <c r="AC142" s="34"/>
    </row>
    <row r="143" spans="1:29" s="1" customFormat="1" ht="13.5" customHeight="1">
      <c r="A143" s="30" t="s">
        <v>136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1" t="s">
        <v>89</v>
      </c>
      <c r="M143" s="31"/>
      <c r="N143" s="31"/>
      <c r="O143" s="31" t="s">
        <v>195</v>
      </c>
      <c r="P143" s="31"/>
      <c r="Q143" s="31"/>
      <c r="R143" s="32" t="s">
        <v>137</v>
      </c>
      <c r="S143" s="32"/>
      <c r="T143" s="33">
        <f>117057.46</f>
        <v>117057.46</v>
      </c>
      <c r="U143" s="33"/>
      <c r="V143" s="33"/>
      <c r="W143" s="33">
        <f>117057.46</f>
        <v>117057.46</v>
      </c>
      <c r="X143" s="33"/>
      <c r="Y143" s="33"/>
      <c r="Z143" s="33"/>
      <c r="AA143" s="33"/>
      <c r="AB143" s="34">
        <f>0</f>
        <v>0</v>
      </c>
      <c r="AC143" s="34"/>
    </row>
    <row r="144" spans="1:29" s="1" customFormat="1" ht="13.5" customHeight="1">
      <c r="A144" s="30" t="s">
        <v>122</v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1" t="s">
        <v>89</v>
      </c>
      <c r="M144" s="31"/>
      <c r="N144" s="31"/>
      <c r="O144" s="31" t="s">
        <v>195</v>
      </c>
      <c r="P144" s="31"/>
      <c r="Q144" s="31"/>
      <c r="R144" s="32" t="s">
        <v>123</v>
      </c>
      <c r="S144" s="32"/>
      <c r="T144" s="33">
        <f>156480</f>
        <v>156480</v>
      </c>
      <c r="U144" s="33"/>
      <c r="V144" s="33"/>
      <c r="W144" s="33">
        <f>156480</f>
        <v>156480</v>
      </c>
      <c r="X144" s="33"/>
      <c r="Y144" s="33"/>
      <c r="Z144" s="33"/>
      <c r="AA144" s="33"/>
      <c r="AB144" s="34">
        <f>0</f>
        <v>0</v>
      </c>
      <c r="AC144" s="34"/>
    </row>
    <row r="145" spans="1:29" s="1" customFormat="1" ht="13.5" customHeight="1">
      <c r="A145" s="30" t="s">
        <v>132</v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1" t="s">
        <v>89</v>
      </c>
      <c r="M145" s="31"/>
      <c r="N145" s="31"/>
      <c r="O145" s="31" t="s">
        <v>196</v>
      </c>
      <c r="P145" s="31"/>
      <c r="Q145" s="31"/>
      <c r="R145" s="32" t="s">
        <v>133</v>
      </c>
      <c r="S145" s="32"/>
      <c r="T145" s="33">
        <f>100000</f>
        <v>100000</v>
      </c>
      <c r="U145" s="33"/>
      <c r="V145" s="33"/>
      <c r="W145" s="33">
        <f>100000</f>
        <v>100000</v>
      </c>
      <c r="X145" s="33"/>
      <c r="Y145" s="33"/>
      <c r="Z145" s="33"/>
      <c r="AA145" s="33"/>
      <c r="AB145" s="34">
        <f>0</f>
        <v>0</v>
      </c>
      <c r="AC145" s="34"/>
    </row>
    <row r="146" spans="1:29" s="1" customFormat="1" ht="13.5" customHeight="1">
      <c r="A146" s="30" t="s">
        <v>136</v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1" t="s">
        <v>89</v>
      </c>
      <c r="M146" s="31"/>
      <c r="N146" s="31"/>
      <c r="O146" s="31" t="s">
        <v>196</v>
      </c>
      <c r="P146" s="31"/>
      <c r="Q146" s="31"/>
      <c r="R146" s="32" t="s">
        <v>137</v>
      </c>
      <c r="S146" s="32"/>
      <c r="T146" s="33">
        <f>491887.2</f>
        <v>491887.2</v>
      </c>
      <c r="U146" s="33"/>
      <c r="V146" s="33"/>
      <c r="W146" s="35" t="s">
        <v>45</v>
      </c>
      <c r="X146" s="35"/>
      <c r="Y146" s="35"/>
      <c r="Z146" s="35"/>
      <c r="AA146" s="35"/>
      <c r="AB146" s="34">
        <f>491887.2</f>
        <v>491887.2</v>
      </c>
      <c r="AC146" s="34"/>
    </row>
    <row r="147" spans="1:29" s="1" customFormat="1" ht="13.5" customHeight="1">
      <c r="A147" s="30" t="s">
        <v>140</v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1" t="s">
        <v>89</v>
      </c>
      <c r="M147" s="31"/>
      <c r="N147" s="31"/>
      <c r="O147" s="31" t="s">
        <v>196</v>
      </c>
      <c r="P147" s="31"/>
      <c r="Q147" s="31"/>
      <c r="R147" s="32" t="s">
        <v>141</v>
      </c>
      <c r="S147" s="32"/>
      <c r="T147" s="33">
        <f>157790</f>
        <v>157790</v>
      </c>
      <c r="U147" s="33"/>
      <c r="V147" s="33"/>
      <c r="W147" s="33">
        <f>157790</f>
        <v>157790</v>
      </c>
      <c r="X147" s="33"/>
      <c r="Y147" s="33"/>
      <c r="Z147" s="33"/>
      <c r="AA147" s="33"/>
      <c r="AB147" s="34">
        <f>0</f>
        <v>0</v>
      </c>
      <c r="AC147" s="34"/>
    </row>
    <row r="148" spans="1:29" s="1" customFormat="1" ht="13.5" customHeight="1">
      <c r="A148" s="30" t="s">
        <v>120</v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1" t="s">
        <v>89</v>
      </c>
      <c r="M148" s="31"/>
      <c r="N148" s="31"/>
      <c r="O148" s="31" t="s">
        <v>196</v>
      </c>
      <c r="P148" s="31"/>
      <c r="Q148" s="31"/>
      <c r="R148" s="32" t="s">
        <v>121</v>
      </c>
      <c r="S148" s="32"/>
      <c r="T148" s="33">
        <f>150322.8</f>
        <v>150322.8</v>
      </c>
      <c r="U148" s="33"/>
      <c r="V148" s="33"/>
      <c r="W148" s="33">
        <f>107900</f>
        <v>107900</v>
      </c>
      <c r="X148" s="33"/>
      <c r="Y148" s="33"/>
      <c r="Z148" s="33"/>
      <c r="AA148" s="33"/>
      <c r="AB148" s="34">
        <f>42422.8</f>
        <v>42422.8</v>
      </c>
      <c r="AC148" s="34"/>
    </row>
    <row r="149" spans="1:29" s="1" customFormat="1" ht="13.5" customHeight="1">
      <c r="A149" s="30" t="s">
        <v>105</v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1" t="s">
        <v>89</v>
      </c>
      <c r="M149" s="31"/>
      <c r="N149" s="31"/>
      <c r="O149" s="31" t="s">
        <v>197</v>
      </c>
      <c r="P149" s="31"/>
      <c r="Q149" s="31"/>
      <c r="R149" s="32" t="s">
        <v>107</v>
      </c>
      <c r="S149" s="32"/>
      <c r="T149" s="33">
        <f>254667</f>
        <v>254667</v>
      </c>
      <c r="U149" s="33"/>
      <c r="V149" s="33"/>
      <c r="W149" s="33">
        <f>191000.25</f>
        <v>191000.25</v>
      </c>
      <c r="X149" s="33"/>
      <c r="Y149" s="33"/>
      <c r="Z149" s="33"/>
      <c r="AA149" s="33"/>
      <c r="AB149" s="34">
        <f>63666.75</f>
        <v>63666.75</v>
      </c>
      <c r="AC149" s="34"/>
    </row>
    <row r="150" spans="1:29" s="1" customFormat="1" ht="13.5" customHeight="1">
      <c r="A150" s="30" t="s">
        <v>90</v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1" t="s">
        <v>89</v>
      </c>
      <c r="M150" s="31"/>
      <c r="N150" s="31"/>
      <c r="O150" s="31" t="s">
        <v>198</v>
      </c>
      <c r="P150" s="31"/>
      <c r="Q150" s="31"/>
      <c r="R150" s="32" t="s">
        <v>92</v>
      </c>
      <c r="S150" s="32"/>
      <c r="T150" s="33">
        <f>1550.5</f>
        <v>1550.5</v>
      </c>
      <c r="U150" s="33"/>
      <c r="V150" s="33"/>
      <c r="W150" s="33">
        <f>1550.5</f>
        <v>1550.5</v>
      </c>
      <c r="X150" s="33"/>
      <c r="Y150" s="33"/>
      <c r="Z150" s="33"/>
      <c r="AA150" s="33"/>
      <c r="AB150" s="34">
        <f>0</f>
        <v>0</v>
      </c>
      <c r="AC150" s="34"/>
    </row>
    <row r="151" spans="1:29" s="1" customFormat="1" ht="13.5" customHeight="1">
      <c r="A151" s="30" t="s">
        <v>93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 t="s">
        <v>89</v>
      </c>
      <c r="M151" s="31"/>
      <c r="N151" s="31"/>
      <c r="O151" s="31" t="s">
        <v>199</v>
      </c>
      <c r="P151" s="31"/>
      <c r="Q151" s="31"/>
      <c r="R151" s="32" t="s">
        <v>95</v>
      </c>
      <c r="S151" s="32"/>
      <c r="T151" s="33">
        <f>468.22</f>
        <v>468.22</v>
      </c>
      <c r="U151" s="33"/>
      <c r="V151" s="33"/>
      <c r="W151" s="33">
        <f>468.22</f>
        <v>468.22</v>
      </c>
      <c r="X151" s="33"/>
      <c r="Y151" s="33"/>
      <c r="Z151" s="33"/>
      <c r="AA151" s="33"/>
      <c r="AB151" s="34">
        <f>0</f>
        <v>0</v>
      </c>
      <c r="AC151" s="34"/>
    </row>
    <row r="152" spans="1:29" s="1" customFormat="1" ht="13.5" customHeight="1">
      <c r="A152" s="30" t="s">
        <v>105</v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1" t="s">
        <v>89</v>
      </c>
      <c r="M152" s="31"/>
      <c r="N152" s="31"/>
      <c r="O152" s="31" t="s">
        <v>200</v>
      </c>
      <c r="P152" s="31"/>
      <c r="Q152" s="31"/>
      <c r="R152" s="32" t="s">
        <v>107</v>
      </c>
      <c r="S152" s="32"/>
      <c r="T152" s="33">
        <f>815412.52</f>
        <v>815412.52</v>
      </c>
      <c r="U152" s="33"/>
      <c r="V152" s="33"/>
      <c r="W152" s="33">
        <f>613026</f>
        <v>613026</v>
      </c>
      <c r="X152" s="33"/>
      <c r="Y152" s="33"/>
      <c r="Z152" s="33"/>
      <c r="AA152" s="33"/>
      <c r="AB152" s="34">
        <f>202386.52</f>
        <v>202386.52</v>
      </c>
      <c r="AC152" s="34"/>
    </row>
    <row r="153" spans="1:29" s="1" customFormat="1" ht="13.5" customHeight="1">
      <c r="A153" s="30" t="s">
        <v>105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1" t="s">
        <v>89</v>
      </c>
      <c r="M153" s="31"/>
      <c r="N153" s="31"/>
      <c r="O153" s="31" t="s">
        <v>201</v>
      </c>
      <c r="P153" s="31"/>
      <c r="Q153" s="31"/>
      <c r="R153" s="32" t="s">
        <v>107</v>
      </c>
      <c r="S153" s="32"/>
      <c r="T153" s="33">
        <f>72900</f>
        <v>72900</v>
      </c>
      <c r="U153" s="33"/>
      <c r="V153" s="33"/>
      <c r="W153" s="33">
        <f>72900</f>
        <v>72900</v>
      </c>
      <c r="X153" s="33"/>
      <c r="Y153" s="33"/>
      <c r="Z153" s="33"/>
      <c r="AA153" s="33"/>
      <c r="AB153" s="34">
        <f>0</f>
        <v>0</v>
      </c>
      <c r="AC153" s="34"/>
    </row>
    <row r="154" spans="1:29" s="1" customFormat="1" ht="13.5" customHeight="1">
      <c r="A154" s="30" t="s">
        <v>120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1" t="s">
        <v>89</v>
      </c>
      <c r="M154" s="31"/>
      <c r="N154" s="31"/>
      <c r="O154" s="31" t="s">
        <v>202</v>
      </c>
      <c r="P154" s="31"/>
      <c r="Q154" s="31"/>
      <c r="R154" s="32" t="s">
        <v>121</v>
      </c>
      <c r="S154" s="32"/>
      <c r="T154" s="33">
        <f>52000</f>
        <v>52000</v>
      </c>
      <c r="U154" s="33"/>
      <c r="V154" s="33"/>
      <c r="W154" s="33">
        <f>25000</f>
        <v>25000</v>
      </c>
      <c r="X154" s="33"/>
      <c r="Y154" s="33"/>
      <c r="Z154" s="33"/>
      <c r="AA154" s="33"/>
      <c r="AB154" s="34">
        <f>27000</f>
        <v>27000</v>
      </c>
      <c r="AC154" s="34"/>
    </row>
    <row r="155" spans="1:29" s="1" customFormat="1" ht="13.5" customHeight="1">
      <c r="A155" s="30" t="s">
        <v>140</v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1" t="s">
        <v>89</v>
      </c>
      <c r="M155" s="31"/>
      <c r="N155" s="31"/>
      <c r="O155" s="31" t="s">
        <v>203</v>
      </c>
      <c r="P155" s="31"/>
      <c r="Q155" s="31"/>
      <c r="R155" s="32" t="s">
        <v>141</v>
      </c>
      <c r="S155" s="32"/>
      <c r="T155" s="33">
        <f>267000</f>
        <v>267000</v>
      </c>
      <c r="U155" s="33"/>
      <c r="V155" s="33"/>
      <c r="W155" s="35" t="s">
        <v>45</v>
      </c>
      <c r="X155" s="35"/>
      <c r="Y155" s="35"/>
      <c r="Z155" s="35"/>
      <c r="AA155" s="35"/>
      <c r="AB155" s="34">
        <f>267000</f>
        <v>267000</v>
      </c>
      <c r="AC155" s="34"/>
    </row>
    <row r="156" spans="1:29" s="1" customFormat="1" ht="13.5" customHeight="1">
      <c r="A156" s="30" t="s">
        <v>122</v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1" t="s">
        <v>89</v>
      </c>
      <c r="M156" s="31"/>
      <c r="N156" s="31"/>
      <c r="O156" s="31" t="s">
        <v>203</v>
      </c>
      <c r="P156" s="31"/>
      <c r="Q156" s="31"/>
      <c r="R156" s="32" t="s">
        <v>123</v>
      </c>
      <c r="S156" s="32"/>
      <c r="T156" s="33">
        <f>95400</f>
        <v>95400</v>
      </c>
      <c r="U156" s="33"/>
      <c r="V156" s="33"/>
      <c r="W156" s="33">
        <f>95400</f>
        <v>95400</v>
      </c>
      <c r="X156" s="33"/>
      <c r="Y156" s="33"/>
      <c r="Z156" s="33"/>
      <c r="AA156" s="33"/>
      <c r="AB156" s="34">
        <f>0</f>
        <v>0</v>
      </c>
      <c r="AC156" s="34"/>
    </row>
    <row r="157" spans="1:29" s="1" customFormat="1" ht="13.5" customHeight="1">
      <c r="A157" s="30" t="s">
        <v>136</v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1" t="s">
        <v>89</v>
      </c>
      <c r="M157" s="31"/>
      <c r="N157" s="31"/>
      <c r="O157" s="31" t="s">
        <v>204</v>
      </c>
      <c r="P157" s="31"/>
      <c r="Q157" s="31"/>
      <c r="R157" s="32" t="s">
        <v>137</v>
      </c>
      <c r="S157" s="32"/>
      <c r="T157" s="33">
        <f>66660</f>
        <v>66660</v>
      </c>
      <c r="U157" s="33"/>
      <c r="V157" s="33"/>
      <c r="W157" s="33">
        <f>44440</f>
        <v>44440</v>
      </c>
      <c r="X157" s="33"/>
      <c r="Y157" s="33"/>
      <c r="Z157" s="33"/>
      <c r="AA157" s="33"/>
      <c r="AB157" s="34">
        <f>22220</f>
        <v>22220</v>
      </c>
      <c r="AC157" s="34"/>
    </row>
    <row r="158" spans="1:29" s="1" customFormat="1" ht="13.5" customHeight="1">
      <c r="A158" s="30" t="s">
        <v>102</v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1" t="s">
        <v>89</v>
      </c>
      <c r="M158" s="31"/>
      <c r="N158" s="31"/>
      <c r="O158" s="31" t="s">
        <v>205</v>
      </c>
      <c r="P158" s="31"/>
      <c r="Q158" s="31"/>
      <c r="R158" s="32" t="s">
        <v>103</v>
      </c>
      <c r="S158" s="32"/>
      <c r="T158" s="33">
        <f>780769.65</f>
        <v>780769.65</v>
      </c>
      <c r="U158" s="33"/>
      <c r="V158" s="33"/>
      <c r="W158" s="33">
        <f>545229.36</f>
        <v>545229.36</v>
      </c>
      <c r="X158" s="33"/>
      <c r="Y158" s="33"/>
      <c r="Z158" s="33"/>
      <c r="AA158" s="33"/>
      <c r="AB158" s="34">
        <f>235540.29</f>
        <v>235540.29</v>
      </c>
      <c r="AC158" s="34"/>
    </row>
    <row r="159" spans="1:29" s="1" customFormat="1" ht="13.5" customHeight="1">
      <c r="A159" s="30" t="s">
        <v>90</v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1" t="s">
        <v>89</v>
      </c>
      <c r="M159" s="31"/>
      <c r="N159" s="31"/>
      <c r="O159" s="31" t="s">
        <v>206</v>
      </c>
      <c r="P159" s="31"/>
      <c r="Q159" s="31"/>
      <c r="R159" s="32" t="s">
        <v>92</v>
      </c>
      <c r="S159" s="32"/>
      <c r="T159" s="33">
        <f>4439062.99</f>
        <v>4439062.99</v>
      </c>
      <c r="U159" s="33"/>
      <c r="V159" s="33"/>
      <c r="W159" s="33">
        <f>3505344.28</f>
        <v>3505344.28</v>
      </c>
      <c r="X159" s="33"/>
      <c r="Y159" s="33"/>
      <c r="Z159" s="33"/>
      <c r="AA159" s="33"/>
      <c r="AB159" s="34">
        <f>933718.71</f>
        <v>933718.71</v>
      </c>
      <c r="AC159" s="34"/>
    </row>
    <row r="160" spans="1:29" s="1" customFormat="1" ht="13.5" customHeight="1">
      <c r="A160" s="30" t="s">
        <v>97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1" t="s">
        <v>89</v>
      </c>
      <c r="M160" s="31"/>
      <c r="N160" s="31"/>
      <c r="O160" s="31" t="s">
        <v>206</v>
      </c>
      <c r="P160" s="31"/>
      <c r="Q160" s="31"/>
      <c r="R160" s="32" t="s">
        <v>98</v>
      </c>
      <c r="S160" s="32"/>
      <c r="T160" s="33">
        <f>138150.6</f>
        <v>138150.6</v>
      </c>
      <c r="U160" s="33"/>
      <c r="V160" s="33"/>
      <c r="W160" s="33">
        <f>104431.66</f>
        <v>104431.66</v>
      </c>
      <c r="X160" s="33"/>
      <c r="Y160" s="33"/>
      <c r="Z160" s="33"/>
      <c r="AA160" s="33"/>
      <c r="AB160" s="34">
        <f>33718.94</f>
        <v>33718.94</v>
      </c>
      <c r="AC160" s="34"/>
    </row>
    <row r="161" spans="1:29" s="1" customFormat="1" ht="13.5" customHeight="1">
      <c r="A161" s="30" t="s">
        <v>99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1" t="s">
        <v>89</v>
      </c>
      <c r="M161" s="31"/>
      <c r="N161" s="31"/>
      <c r="O161" s="31" t="s">
        <v>207</v>
      </c>
      <c r="P161" s="31"/>
      <c r="Q161" s="31"/>
      <c r="R161" s="32" t="s">
        <v>101</v>
      </c>
      <c r="S161" s="32"/>
      <c r="T161" s="33">
        <f>2000</f>
        <v>2000</v>
      </c>
      <c r="U161" s="33"/>
      <c r="V161" s="33"/>
      <c r="W161" s="33">
        <f>1800</f>
        <v>1800</v>
      </c>
      <c r="X161" s="33"/>
      <c r="Y161" s="33"/>
      <c r="Z161" s="33"/>
      <c r="AA161" s="33"/>
      <c r="AB161" s="34">
        <f>200</f>
        <v>200</v>
      </c>
      <c r="AC161" s="34"/>
    </row>
    <row r="162" spans="1:29" s="1" customFormat="1" ht="13.5" customHeight="1">
      <c r="A162" s="30" t="s">
        <v>126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1" t="s">
        <v>89</v>
      </c>
      <c r="M162" s="31"/>
      <c r="N162" s="31"/>
      <c r="O162" s="31" t="s">
        <v>207</v>
      </c>
      <c r="P162" s="31"/>
      <c r="Q162" s="31"/>
      <c r="R162" s="32" t="s">
        <v>128</v>
      </c>
      <c r="S162" s="32"/>
      <c r="T162" s="33">
        <f>90000</f>
        <v>90000</v>
      </c>
      <c r="U162" s="33"/>
      <c r="V162" s="33"/>
      <c r="W162" s="33">
        <f>77640.8</f>
        <v>77640.8</v>
      </c>
      <c r="X162" s="33"/>
      <c r="Y162" s="33"/>
      <c r="Z162" s="33"/>
      <c r="AA162" s="33"/>
      <c r="AB162" s="34">
        <f>12359.2</f>
        <v>12359.2</v>
      </c>
      <c r="AC162" s="34"/>
    </row>
    <row r="163" spans="1:29" s="1" customFormat="1" ht="13.5" customHeight="1">
      <c r="A163" s="30" t="s">
        <v>102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1" t="s">
        <v>89</v>
      </c>
      <c r="M163" s="31"/>
      <c r="N163" s="31"/>
      <c r="O163" s="31" t="s">
        <v>207</v>
      </c>
      <c r="P163" s="31"/>
      <c r="Q163" s="31"/>
      <c r="R163" s="32" t="s">
        <v>103</v>
      </c>
      <c r="S163" s="32"/>
      <c r="T163" s="33">
        <f>8000</f>
        <v>8000</v>
      </c>
      <c r="U163" s="33"/>
      <c r="V163" s="33"/>
      <c r="W163" s="33">
        <f>5932.5</f>
        <v>5932.5</v>
      </c>
      <c r="X163" s="33"/>
      <c r="Y163" s="33"/>
      <c r="Z163" s="33"/>
      <c r="AA163" s="33"/>
      <c r="AB163" s="34">
        <f>2067.5</f>
        <v>2067.5</v>
      </c>
      <c r="AC163" s="34"/>
    </row>
    <row r="164" spans="1:29" s="1" customFormat="1" ht="13.5" customHeight="1">
      <c r="A164" s="30" t="s">
        <v>93</v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1" t="s">
        <v>89</v>
      </c>
      <c r="M164" s="31"/>
      <c r="N164" s="31"/>
      <c r="O164" s="31" t="s">
        <v>208</v>
      </c>
      <c r="P164" s="31"/>
      <c r="Q164" s="31"/>
      <c r="R164" s="32" t="s">
        <v>95</v>
      </c>
      <c r="S164" s="32"/>
      <c r="T164" s="33">
        <f>1287278.27</f>
        <v>1287278.27</v>
      </c>
      <c r="U164" s="33"/>
      <c r="V164" s="33"/>
      <c r="W164" s="33">
        <f>1106813.05</f>
        <v>1106813.05</v>
      </c>
      <c r="X164" s="33"/>
      <c r="Y164" s="33"/>
      <c r="Z164" s="33"/>
      <c r="AA164" s="33"/>
      <c r="AB164" s="34">
        <f>180465.22</f>
        <v>180465.22</v>
      </c>
      <c r="AC164" s="34"/>
    </row>
    <row r="165" spans="1:29" s="1" customFormat="1" ht="13.5" customHeight="1">
      <c r="A165" s="30" t="s">
        <v>115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1" t="s">
        <v>89</v>
      </c>
      <c r="M165" s="31"/>
      <c r="N165" s="31"/>
      <c r="O165" s="31" t="s">
        <v>209</v>
      </c>
      <c r="P165" s="31"/>
      <c r="Q165" s="31"/>
      <c r="R165" s="32" t="s">
        <v>117</v>
      </c>
      <c r="S165" s="32"/>
      <c r="T165" s="33">
        <f>65000</f>
        <v>65000</v>
      </c>
      <c r="U165" s="33"/>
      <c r="V165" s="33"/>
      <c r="W165" s="33">
        <f>42461.87</f>
        <v>42461.87</v>
      </c>
      <c r="X165" s="33"/>
      <c r="Y165" s="33"/>
      <c r="Z165" s="33"/>
      <c r="AA165" s="33"/>
      <c r="AB165" s="34">
        <f>22538.13</f>
        <v>22538.13</v>
      </c>
      <c r="AC165" s="34"/>
    </row>
    <row r="166" spans="1:29" s="1" customFormat="1" ht="13.5" customHeight="1">
      <c r="A166" s="30" t="s">
        <v>102</v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1" t="s">
        <v>89</v>
      </c>
      <c r="M166" s="31"/>
      <c r="N166" s="31"/>
      <c r="O166" s="31" t="s">
        <v>209</v>
      </c>
      <c r="P166" s="31"/>
      <c r="Q166" s="31"/>
      <c r="R166" s="32" t="s">
        <v>103</v>
      </c>
      <c r="S166" s="32"/>
      <c r="T166" s="33">
        <f>86000</f>
        <v>86000</v>
      </c>
      <c r="U166" s="33"/>
      <c r="V166" s="33"/>
      <c r="W166" s="33">
        <f>67512</f>
        <v>67512</v>
      </c>
      <c r="X166" s="33"/>
      <c r="Y166" s="33"/>
      <c r="Z166" s="33"/>
      <c r="AA166" s="33"/>
      <c r="AB166" s="34">
        <f>18488</f>
        <v>18488</v>
      </c>
      <c r="AC166" s="34"/>
    </row>
    <row r="167" spans="1:29" s="1" customFormat="1" ht="13.5" customHeight="1">
      <c r="A167" s="30" t="s">
        <v>115</v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1" t="s">
        <v>89</v>
      </c>
      <c r="M167" s="31"/>
      <c r="N167" s="31"/>
      <c r="O167" s="31" t="s">
        <v>210</v>
      </c>
      <c r="P167" s="31"/>
      <c r="Q167" s="31"/>
      <c r="R167" s="32" t="s">
        <v>117</v>
      </c>
      <c r="S167" s="32"/>
      <c r="T167" s="33">
        <f>1000</f>
        <v>1000</v>
      </c>
      <c r="U167" s="33"/>
      <c r="V167" s="33"/>
      <c r="W167" s="33">
        <f>840</f>
        <v>840</v>
      </c>
      <c r="X167" s="33"/>
      <c r="Y167" s="33"/>
      <c r="Z167" s="33"/>
      <c r="AA167" s="33"/>
      <c r="AB167" s="34">
        <f>160</f>
        <v>160</v>
      </c>
      <c r="AC167" s="34"/>
    </row>
    <row r="168" spans="1:29" s="1" customFormat="1" ht="13.5" customHeight="1">
      <c r="A168" s="30" t="s">
        <v>134</v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1" t="s">
        <v>89</v>
      </c>
      <c r="M168" s="31"/>
      <c r="N168" s="31"/>
      <c r="O168" s="31" t="s">
        <v>210</v>
      </c>
      <c r="P168" s="31"/>
      <c r="Q168" s="31"/>
      <c r="R168" s="32" t="s">
        <v>135</v>
      </c>
      <c r="S168" s="32"/>
      <c r="T168" s="33">
        <f>895000</f>
        <v>895000</v>
      </c>
      <c r="U168" s="33"/>
      <c r="V168" s="33"/>
      <c r="W168" s="33">
        <f>494418.08</f>
        <v>494418.08</v>
      </c>
      <c r="X168" s="33"/>
      <c r="Y168" s="33"/>
      <c r="Z168" s="33"/>
      <c r="AA168" s="33"/>
      <c r="AB168" s="34">
        <f>400581.92</f>
        <v>400581.92</v>
      </c>
      <c r="AC168" s="34"/>
    </row>
    <row r="169" spans="1:29" s="1" customFormat="1" ht="13.5" customHeight="1">
      <c r="A169" s="30" t="s">
        <v>136</v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1" t="s">
        <v>89</v>
      </c>
      <c r="M169" s="31"/>
      <c r="N169" s="31"/>
      <c r="O169" s="31" t="s">
        <v>210</v>
      </c>
      <c r="P169" s="31"/>
      <c r="Q169" s="31"/>
      <c r="R169" s="32" t="s">
        <v>137</v>
      </c>
      <c r="S169" s="32"/>
      <c r="T169" s="33">
        <f>5500</f>
        <v>5500</v>
      </c>
      <c r="U169" s="33"/>
      <c r="V169" s="33"/>
      <c r="W169" s="33">
        <f>5500</f>
        <v>5500</v>
      </c>
      <c r="X169" s="33"/>
      <c r="Y169" s="33"/>
      <c r="Z169" s="33"/>
      <c r="AA169" s="33"/>
      <c r="AB169" s="34">
        <f>0</f>
        <v>0</v>
      </c>
      <c r="AC169" s="34"/>
    </row>
    <row r="170" spans="1:29" s="1" customFormat="1" ht="13.5" customHeight="1">
      <c r="A170" s="30" t="s">
        <v>102</v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1" t="s">
        <v>89</v>
      </c>
      <c r="M170" s="31"/>
      <c r="N170" s="31"/>
      <c r="O170" s="31" t="s">
        <v>210</v>
      </c>
      <c r="P170" s="31"/>
      <c r="Q170" s="31"/>
      <c r="R170" s="32" t="s">
        <v>103</v>
      </c>
      <c r="S170" s="32"/>
      <c r="T170" s="33">
        <f>12434</f>
        <v>12434</v>
      </c>
      <c r="U170" s="33"/>
      <c r="V170" s="33"/>
      <c r="W170" s="33">
        <f>12434</f>
        <v>12434</v>
      </c>
      <c r="X170" s="33"/>
      <c r="Y170" s="33"/>
      <c r="Z170" s="33"/>
      <c r="AA170" s="33"/>
      <c r="AB170" s="34">
        <f>0</f>
        <v>0</v>
      </c>
      <c r="AC170" s="34"/>
    </row>
    <row r="171" spans="1:29" s="1" customFormat="1" ht="13.5" customHeight="1">
      <c r="A171" s="30" t="s">
        <v>122</v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1" t="s">
        <v>89</v>
      </c>
      <c r="M171" s="31"/>
      <c r="N171" s="31"/>
      <c r="O171" s="31" t="s">
        <v>210</v>
      </c>
      <c r="P171" s="31"/>
      <c r="Q171" s="31"/>
      <c r="R171" s="32" t="s">
        <v>123</v>
      </c>
      <c r="S171" s="32"/>
      <c r="T171" s="33">
        <f>14866</f>
        <v>14866</v>
      </c>
      <c r="U171" s="33"/>
      <c r="V171" s="33"/>
      <c r="W171" s="33">
        <f>10150</f>
        <v>10150</v>
      </c>
      <c r="X171" s="33"/>
      <c r="Y171" s="33"/>
      <c r="Z171" s="33"/>
      <c r="AA171" s="33"/>
      <c r="AB171" s="34">
        <f>4716</f>
        <v>4716</v>
      </c>
      <c r="AC171" s="34"/>
    </row>
    <row r="172" spans="1:29" s="1" customFormat="1" ht="24" customHeight="1">
      <c r="A172" s="30" t="s">
        <v>124</v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1" t="s">
        <v>89</v>
      </c>
      <c r="M172" s="31"/>
      <c r="N172" s="31"/>
      <c r="O172" s="31" t="s">
        <v>210</v>
      </c>
      <c r="P172" s="31"/>
      <c r="Q172" s="31"/>
      <c r="R172" s="32" t="s">
        <v>125</v>
      </c>
      <c r="S172" s="32"/>
      <c r="T172" s="33">
        <f>20504</f>
        <v>20504</v>
      </c>
      <c r="U172" s="33"/>
      <c r="V172" s="33"/>
      <c r="W172" s="33">
        <f>20504</f>
        <v>20504</v>
      </c>
      <c r="X172" s="33"/>
      <c r="Y172" s="33"/>
      <c r="Z172" s="33"/>
      <c r="AA172" s="33"/>
      <c r="AB172" s="34">
        <f aca="true" t="shared" si="2" ref="AB172:AB177">0</f>
        <v>0</v>
      </c>
      <c r="AC172" s="34"/>
    </row>
    <row r="173" spans="1:29" s="1" customFormat="1" ht="13.5" customHeight="1">
      <c r="A173" s="30" t="s">
        <v>211</v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1" t="s">
        <v>89</v>
      </c>
      <c r="M173" s="31"/>
      <c r="N173" s="31"/>
      <c r="O173" s="31" t="s">
        <v>212</v>
      </c>
      <c r="P173" s="31"/>
      <c r="Q173" s="31"/>
      <c r="R173" s="32" t="s">
        <v>213</v>
      </c>
      <c r="S173" s="32"/>
      <c r="T173" s="33">
        <f>10000</f>
        <v>10000</v>
      </c>
      <c r="U173" s="33"/>
      <c r="V173" s="33"/>
      <c r="W173" s="33">
        <f>10000</f>
        <v>10000</v>
      </c>
      <c r="X173" s="33"/>
      <c r="Y173" s="33"/>
      <c r="Z173" s="33"/>
      <c r="AA173" s="33"/>
      <c r="AB173" s="34">
        <f t="shared" si="2"/>
        <v>0</v>
      </c>
      <c r="AC173" s="34"/>
    </row>
    <row r="174" spans="1:29" s="1" customFormat="1" ht="13.5" customHeight="1">
      <c r="A174" s="30" t="s">
        <v>144</v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1" t="s">
        <v>89</v>
      </c>
      <c r="M174" s="31"/>
      <c r="N174" s="31"/>
      <c r="O174" s="31" t="s">
        <v>214</v>
      </c>
      <c r="P174" s="31"/>
      <c r="Q174" s="31"/>
      <c r="R174" s="32" t="s">
        <v>146</v>
      </c>
      <c r="S174" s="32"/>
      <c r="T174" s="33">
        <f>3500</f>
        <v>3500</v>
      </c>
      <c r="U174" s="33"/>
      <c r="V174" s="33"/>
      <c r="W174" s="33">
        <f>3500</f>
        <v>3500</v>
      </c>
      <c r="X174" s="33"/>
      <c r="Y174" s="33"/>
      <c r="Z174" s="33"/>
      <c r="AA174" s="33"/>
      <c r="AB174" s="34">
        <f t="shared" si="2"/>
        <v>0</v>
      </c>
      <c r="AC174" s="34"/>
    </row>
    <row r="175" spans="1:29" s="1" customFormat="1" ht="13.5" customHeight="1">
      <c r="A175" s="30" t="s">
        <v>144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1" t="s">
        <v>89</v>
      </c>
      <c r="M175" s="31"/>
      <c r="N175" s="31"/>
      <c r="O175" s="31" t="s">
        <v>215</v>
      </c>
      <c r="P175" s="31"/>
      <c r="Q175" s="31"/>
      <c r="R175" s="32" t="s">
        <v>146</v>
      </c>
      <c r="S175" s="32"/>
      <c r="T175" s="33">
        <f>600</f>
        <v>600</v>
      </c>
      <c r="U175" s="33"/>
      <c r="V175" s="33"/>
      <c r="W175" s="33">
        <f>600</f>
        <v>600</v>
      </c>
      <c r="X175" s="33"/>
      <c r="Y175" s="33"/>
      <c r="Z175" s="33"/>
      <c r="AA175" s="33"/>
      <c r="AB175" s="34">
        <f t="shared" si="2"/>
        <v>0</v>
      </c>
      <c r="AC175" s="34"/>
    </row>
    <row r="176" spans="1:29" s="1" customFormat="1" ht="24" customHeight="1">
      <c r="A176" s="30" t="s">
        <v>216</v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1" t="s">
        <v>89</v>
      </c>
      <c r="M176" s="31"/>
      <c r="N176" s="31"/>
      <c r="O176" s="31" t="s">
        <v>217</v>
      </c>
      <c r="P176" s="31"/>
      <c r="Q176" s="31"/>
      <c r="R176" s="32" t="s">
        <v>218</v>
      </c>
      <c r="S176" s="32"/>
      <c r="T176" s="33">
        <f>3029.96</f>
        <v>3029.96</v>
      </c>
      <c r="U176" s="33"/>
      <c r="V176" s="33"/>
      <c r="W176" s="33">
        <f>3029.96</f>
        <v>3029.96</v>
      </c>
      <c r="X176" s="33"/>
      <c r="Y176" s="33"/>
      <c r="Z176" s="33"/>
      <c r="AA176" s="33"/>
      <c r="AB176" s="34">
        <f t="shared" si="2"/>
        <v>0</v>
      </c>
      <c r="AC176" s="34"/>
    </row>
    <row r="177" spans="1:29" s="1" customFormat="1" ht="13.5" customHeight="1">
      <c r="A177" s="30" t="s">
        <v>148</v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1" t="s">
        <v>89</v>
      </c>
      <c r="M177" s="31"/>
      <c r="N177" s="31"/>
      <c r="O177" s="31" t="s">
        <v>217</v>
      </c>
      <c r="P177" s="31"/>
      <c r="Q177" s="31"/>
      <c r="R177" s="32" t="s">
        <v>150</v>
      </c>
      <c r="S177" s="32"/>
      <c r="T177" s="33">
        <f>3000</f>
        <v>3000</v>
      </c>
      <c r="U177" s="33"/>
      <c r="V177" s="33"/>
      <c r="W177" s="33">
        <f>3000</f>
        <v>3000</v>
      </c>
      <c r="X177" s="33"/>
      <c r="Y177" s="33"/>
      <c r="Z177" s="33"/>
      <c r="AA177" s="33"/>
      <c r="AB177" s="34">
        <f t="shared" si="2"/>
        <v>0</v>
      </c>
      <c r="AC177" s="34"/>
    </row>
    <row r="178" spans="1:29" s="1" customFormat="1" ht="13.5" customHeight="1">
      <c r="A178" s="30" t="s">
        <v>90</v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1" t="s">
        <v>89</v>
      </c>
      <c r="M178" s="31"/>
      <c r="N178" s="31"/>
      <c r="O178" s="31" t="s">
        <v>219</v>
      </c>
      <c r="P178" s="31"/>
      <c r="Q178" s="31"/>
      <c r="R178" s="32" t="s">
        <v>92</v>
      </c>
      <c r="S178" s="32"/>
      <c r="T178" s="33">
        <f>3236971.95</f>
        <v>3236971.95</v>
      </c>
      <c r="U178" s="33"/>
      <c r="V178" s="33"/>
      <c r="W178" s="33">
        <f>2438671.18</f>
        <v>2438671.18</v>
      </c>
      <c r="X178" s="33"/>
      <c r="Y178" s="33"/>
      <c r="Z178" s="33"/>
      <c r="AA178" s="33"/>
      <c r="AB178" s="34">
        <f>798300.77</f>
        <v>798300.77</v>
      </c>
      <c r="AC178" s="34"/>
    </row>
    <row r="179" spans="1:29" s="1" customFormat="1" ht="13.5" customHeight="1">
      <c r="A179" s="30" t="s">
        <v>93</v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1" t="s">
        <v>89</v>
      </c>
      <c r="M179" s="31"/>
      <c r="N179" s="31"/>
      <c r="O179" s="31" t="s">
        <v>220</v>
      </c>
      <c r="P179" s="31"/>
      <c r="Q179" s="31"/>
      <c r="R179" s="32" t="s">
        <v>95</v>
      </c>
      <c r="S179" s="32"/>
      <c r="T179" s="33">
        <f>977565.52</f>
        <v>977565.52</v>
      </c>
      <c r="U179" s="33"/>
      <c r="V179" s="33"/>
      <c r="W179" s="33">
        <f>736478.7</f>
        <v>736478.7</v>
      </c>
      <c r="X179" s="33"/>
      <c r="Y179" s="33"/>
      <c r="Z179" s="33"/>
      <c r="AA179" s="33"/>
      <c r="AB179" s="34">
        <f>241086.82</f>
        <v>241086.82</v>
      </c>
      <c r="AC179" s="34"/>
    </row>
    <row r="180" spans="1:29" s="1" customFormat="1" ht="13.5" customHeight="1">
      <c r="A180" s="30" t="s">
        <v>90</v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1" t="s">
        <v>89</v>
      </c>
      <c r="M180" s="31"/>
      <c r="N180" s="31"/>
      <c r="O180" s="31" t="s">
        <v>221</v>
      </c>
      <c r="P180" s="31"/>
      <c r="Q180" s="31"/>
      <c r="R180" s="32" t="s">
        <v>92</v>
      </c>
      <c r="S180" s="32"/>
      <c r="T180" s="33">
        <f>149000</f>
        <v>149000</v>
      </c>
      <c r="U180" s="33"/>
      <c r="V180" s="33"/>
      <c r="W180" s="33">
        <f>149000</f>
        <v>149000</v>
      </c>
      <c r="X180" s="33"/>
      <c r="Y180" s="33"/>
      <c r="Z180" s="33"/>
      <c r="AA180" s="33"/>
      <c r="AB180" s="34">
        <f>0</f>
        <v>0</v>
      </c>
      <c r="AC180" s="34"/>
    </row>
    <row r="181" spans="1:29" s="1" customFormat="1" ht="13.5" customHeight="1">
      <c r="A181" s="30" t="s">
        <v>93</v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1" t="s">
        <v>89</v>
      </c>
      <c r="M181" s="31"/>
      <c r="N181" s="31"/>
      <c r="O181" s="31" t="s">
        <v>222</v>
      </c>
      <c r="P181" s="31"/>
      <c r="Q181" s="31"/>
      <c r="R181" s="32" t="s">
        <v>95</v>
      </c>
      <c r="S181" s="32"/>
      <c r="T181" s="33">
        <f>45000</f>
        <v>45000</v>
      </c>
      <c r="U181" s="33"/>
      <c r="V181" s="33"/>
      <c r="W181" s="33">
        <f>45000</f>
        <v>45000</v>
      </c>
      <c r="X181" s="33"/>
      <c r="Y181" s="33"/>
      <c r="Z181" s="33"/>
      <c r="AA181" s="33"/>
      <c r="AB181" s="34">
        <f>0</f>
        <v>0</v>
      </c>
      <c r="AC181" s="34"/>
    </row>
    <row r="182" spans="1:29" s="1" customFormat="1" ht="13.5" customHeight="1">
      <c r="A182" s="30" t="s">
        <v>132</v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1" t="s">
        <v>89</v>
      </c>
      <c r="M182" s="31"/>
      <c r="N182" s="31"/>
      <c r="O182" s="31" t="s">
        <v>223</v>
      </c>
      <c r="P182" s="31"/>
      <c r="Q182" s="31"/>
      <c r="R182" s="32" t="s">
        <v>133</v>
      </c>
      <c r="S182" s="32"/>
      <c r="T182" s="33">
        <f>33772.04</f>
        <v>33772.04</v>
      </c>
      <c r="U182" s="33"/>
      <c r="V182" s="33"/>
      <c r="W182" s="33">
        <f>33772.04</f>
        <v>33772.04</v>
      </c>
      <c r="X182" s="33"/>
      <c r="Y182" s="33"/>
      <c r="Z182" s="33"/>
      <c r="AA182" s="33"/>
      <c r="AB182" s="34">
        <f>0</f>
        <v>0</v>
      </c>
      <c r="AC182" s="34"/>
    </row>
    <row r="183" spans="1:29" s="1" customFormat="1" ht="24" customHeight="1">
      <c r="A183" s="30" t="s">
        <v>124</v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1" t="s">
        <v>89</v>
      </c>
      <c r="M183" s="31"/>
      <c r="N183" s="31"/>
      <c r="O183" s="31" t="s">
        <v>223</v>
      </c>
      <c r="P183" s="31"/>
      <c r="Q183" s="31"/>
      <c r="R183" s="32" t="s">
        <v>125</v>
      </c>
      <c r="S183" s="32"/>
      <c r="T183" s="33">
        <f>27064.5</f>
        <v>27064.5</v>
      </c>
      <c r="U183" s="33"/>
      <c r="V183" s="33"/>
      <c r="W183" s="33">
        <f>13000</f>
        <v>13000</v>
      </c>
      <c r="X183" s="33"/>
      <c r="Y183" s="33"/>
      <c r="Z183" s="33"/>
      <c r="AA183" s="33"/>
      <c r="AB183" s="34">
        <f>14064.5</f>
        <v>14064.5</v>
      </c>
      <c r="AC183" s="34"/>
    </row>
    <row r="184" spans="1:29" s="1" customFormat="1" ht="13.5" customHeight="1">
      <c r="A184" s="30" t="s">
        <v>132</v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1" t="s">
        <v>89</v>
      </c>
      <c r="M184" s="31"/>
      <c r="N184" s="31"/>
      <c r="O184" s="31" t="s">
        <v>224</v>
      </c>
      <c r="P184" s="31"/>
      <c r="Q184" s="31"/>
      <c r="R184" s="32" t="s">
        <v>133</v>
      </c>
      <c r="S184" s="32"/>
      <c r="T184" s="33">
        <f>2500</f>
        <v>2500</v>
      </c>
      <c r="U184" s="33"/>
      <c r="V184" s="33"/>
      <c r="W184" s="33">
        <f>2500</f>
        <v>2500</v>
      </c>
      <c r="X184" s="33"/>
      <c r="Y184" s="33"/>
      <c r="Z184" s="33"/>
      <c r="AA184" s="33"/>
      <c r="AB184" s="34">
        <f aca="true" t="shared" si="3" ref="AB184:AB191">0</f>
        <v>0</v>
      </c>
      <c r="AC184" s="34"/>
    </row>
    <row r="185" spans="1:29" s="1" customFormat="1" ht="13.5" customHeight="1">
      <c r="A185" s="30" t="s">
        <v>102</v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1" t="s">
        <v>89</v>
      </c>
      <c r="M185" s="31"/>
      <c r="N185" s="31"/>
      <c r="O185" s="31" t="s">
        <v>224</v>
      </c>
      <c r="P185" s="31"/>
      <c r="Q185" s="31"/>
      <c r="R185" s="32" t="s">
        <v>103</v>
      </c>
      <c r="S185" s="32"/>
      <c r="T185" s="33">
        <f>239790</f>
        <v>239790</v>
      </c>
      <c r="U185" s="33"/>
      <c r="V185" s="33"/>
      <c r="W185" s="33">
        <f>239790</f>
        <v>239790</v>
      </c>
      <c r="X185" s="33"/>
      <c r="Y185" s="33"/>
      <c r="Z185" s="33"/>
      <c r="AA185" s="33"/>
      <c r="AB185" s="34">
        <f t="shared" si="3"/>
        <v>0</v>
      </c>
      <c r="AC185" s="34"/>
    </row>
    <row r="186" spans="1:29" s="1" customFormat="1" ht="13.5" customHeight="1">
      <c r="A186" s="30" t="s">
        <v>140</v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1" t="s">
        <v>89</v>
      </c>
      <c r="M186" s="31"/>
      <c r="N186" s="31"/>
      <c r="O186" s="31" t="s">
        <v>224</v>
      </c>
      <c r="P186" s="31"/>
      <c r="Q186" s="31"/>
      <c r="R186" s="32" t="s">
        <v>141</v>
      </c>
      <c r="S186" s="32"/>
      <c r="T186" s="33">
        <f>46655</f>
        <v>46655</v>
      </c>
      <c r="U186" s="33"/>
      <c r="V186" s="33"/>
      <c r="W186" s="33">
        <f>46655</f>
        <v>46655</v>
      </c>
      <c r="X186" s="33"/>
      <c r="Y186" s="33"/>
      <c r="Z186" s="33"/>
      <c r="AA186" s="33"/>
      <c r="AB186" s="34">
        <f t="shared" si="3"/>
        <v>0</v>
      </c>
      <c r="AC186" s="34"/>
    </row>
    <row r="187" spans="1:29" s="1" customFormat="1" ht="13.5" customHeight="1">
      <c r="A187" s="30" t="s">
        <v>225</v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1" t="s">
        <v>89</v>
      </c>
      <c r="M187" s="31"/>
      <c r="N187" s="31"/>
      <c r="O187" s="31" t="s">
        <v>224</v>
      </c>
      <c r="P187" s="31"/>
      <c r="Q187" s="31"/>
      <c r="R187" s="32" t="s">
        <v>226</v>
      </c>
      <c r="S187" s="32"/>
      <c r="T187" s="33">
        <f>41000</f>
        <v>41000</v>
      </c>
      <c r="U187" s="33"/>
      <c r="V187" s="33"/>
      <c r="W187" s="33">
        <f>41000</f>
        <v>41000</v>
      </c>
      <c r="X187" s="33"/>
      <c r="Y187" s="33"/>
      <c r="Z187" s="33"/>
      <c r="AA187" s="33"/>
      <c r="AB187" s="34">
        <f t="shared" si="3"/>
        <v>0</v>
      </c>
      <c r="AC187" s="34"/>
    </row>
    <row r="188" spans="1:29" s="1" customFormat="1" ht="13.5" customHeight="1">
      <c r="A188" s="30" t="s">
        <v>120</v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1" t="s">
        <v>89</v>
      </c>
      <c r="M188" s="31"/>
      <c r="N188" s="31"/>
      <c r="O188" s="31" t="s">
        <v>224</v>
      </c>
      <c r="P188" s="31"/>
      <c r="Q188" s="31"/>
      <c r="R188" s="32" t="s">
        <v>121</v>
      </c>
      <c r="S188" s="32"/>
      <c r="T188" s="33">
        <f>29494.21</f>
        <v>29494.21</v>
      </c>
      <c r="U188" s="33"/>
      <c r="V188" s="33"/>
      <c r="W188" s="33">
        <f>29494.21</f>
        <v>29494.21</v>
      </c>
      <c r="X188" s="33"/>
      <c r="Y188" s="33"/>
      <c r="Z188" s="33"/>
      <c r="AA188" s="33"/>
      <c r="AB188" s="34">
        <f t="shared" si="3"/>
        <v>0</v>
      </c>
      <c r="AC188" s="34"/>
    </row>
    <row r="189" spans="1:29" s="1" customFormat="1" ht="13.5" customHeight="1">
      <c r="A189" s="30" t="s">
        <v>142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1" t="s">
        <v>89</v>
      </c>
      <c r="M189" s="31"/>
      <c r="N189" s="31"/>
      <c r="O189" s="31" t="s">
        <v>224</v>
      </c>
      <c r="P189" s="31"/>
      <c r="Q189" s="31"/>
      <c r="R189" s="32" t="s">
        <v>143</v>
      </c>
      <c r="S189" s="32"/>
      <c r="T189" s="33">
        <f>30000</f>
        <v>30000</v>
      </c>
      <c r="U189" s="33"/>
      <c r="V189" s="33"/>
      <c r="W189" s="33">
        <f>30000</f>
        <v>30000</v>
      </c>
      <c r="X189" s="33"/>
      <c r="Y189" s="33"/>
      <c r="Z189" s="33"/>
      <c r="AA189" s="33"/>
      <c r="AB189" s="34">
        <f t="shared" si="3"/>
        <v>0</v>
      </c>
      <c r="AC189" s="34"/>
    </row>
    <row r="190" spans="1:29" s="1" customFormat="1" ht="13.5" customHeight="1">
      <c r="A190" s="30" t="s">
        <v>122</v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1" t="s">
        <v>89</v>
      </c>
      <c r="M190" s="31"/>
      <c r="N190" s="31"/>
      <c r="O190" s="31" t="s">
        <v>224</v>
      </c>
      <c r="P190" s="31"/>
      <c r="Q190" s="31"/>
      <c r="R190" s="32" t="s">
        <v>123</v>
      </c>
      <c r="S190" s="32"/>
      <c r="T190" s="33">
        <f>62432.49</f>
        <v>62432.49</v>
      </c>
      <c r="U190" s="33"/>
      <c r="V190" s="33"/>
      <c r="W190" s="33">
        <f>62432.49</f>
        <v>62432.49</v>
      </c>
      <c r="X190" s="33"/>
      <c r="Y190" s="33"/>
      <c r="Z190" s="33"/>
      <c r="AA190" s="33"/>
      <c r="AB190" s="34">
        <f t="shared" si="3"/>
        <v>0</v>
      </c>
      <c r="AC190" s="34"/>
    </row>
    <row r="191" spans="1:29" s="1" customFormat="1" ht="24" customHeight="1">
      <c r="A191" s="30" t="s">
        <v>124</v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1" t="s">
        <v>89</v>
      </c>
      <c r="M191" s="31"/>
      <c r="N191" s="31"/>
      <c r="O191" s="31" t="s">
        <v>224</v>
      </c>
      <c r="P191" s="31"/>
      <c r="Q191" s="31"/>
      <c r="R191" s="32" t="s">
        <v>125</v>
      </c>
      <c r="S191" s="32"/>
      <c r="T191" s="33">
        <f>60000</f>
        <v>60000</v>
      </c>
      <c r="U191" s="33"/>
      <c r="V191" s="33"/>
      <c r="W191" s="33">
        <f>60000</f>
        <v>60000</v>
      </c>
      <c r="X191" s="33"/>
      <c r="Y191" s="33"/>
      <c r="Z191" s="33"/>
      <c r="AA191" s="33"/>
      <c r="AB191" s="34">
        <f t="shared" si="3"/>
        <v>0</v>
      </c>
      <c r="AC191" s="34"/>
    </row>
    <row r="192" spans="1:29" s="1" customFormat="1" ht="24" customHeight="1">
      <c r="A192" s="30" t="s">
        <v>227</v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1" t="s">
        <v>89</v>
      </c>
      <c r="M192" s="31"/>
      <c r="N192" s="31"/>
      <c r="O192" s="31" t="s">
        <v>228</v>
      </c>
      <c r="P192" s="31"/>
      <c r="Q192" s="31"/>
      <c r="R192" s="32" t="s">
        <v>229</v>
      </c>
      <c r="S192" s="32"/>
      <c r="T192" s="33">
        <f>396756</f>
        <v>396756</v>
      </c>
      <c r="U192" s="33"/>
      <c r="V192" s="33"/>
      <c r="W192" s="33">
        <f>329367</f>
        <v>329367</v>
      </c>
      <c r="X192" s="33"/>
      <c r="Y192" s="33"/>
      <c r="Z192" s="33"/>
      <c r="AA192" s="33"/>
      <c r="AB192" s="34">
        <f>67389</f>
        <v>67389</v>
      </c>
      <c r="AC192" s="34"/>
    </row>
    <row r="193" spans="1:29" s="1" customFormat="1" ht="13.5" customHeight="1">
      <c r="A193" s="30" t="s">
        <v>102</v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1" t="s">
        <v>89</v>
      </c>
      <c r="M193" s="31"/>
      <c r="N193" s="31"/>
      <c r="O193" s="31" t="s">
        <v>230</v>
      </c>
      <c r="P193" s="31"/>
      <c r="Q193" s="31"/>
      <c r="R193" s="32" t="s">
        <v>103</v>
      </c>
      <c r="S193" s="32"/>
      <c r="T193" s="33">
        <f>3509</f>
        <v>3509</v>
      </c>
      <c r="U193" s="33"/>
      <c r="V193" s="33"/>
      <c r="W193" s="33">
        <f>3509</f>
        <v>3509</v>
      </c>
      <c r="X193" s="33"/>
      <c r="Y193" s="33"/>
      <c r="Z193" s="33"/>
      <c r="AA193" s="33"/>
      <c r="AB193" s="34">
        <f>0</f>
        <v>0</v>
      </c>
      <c r="AC193" s="34"/>
    </row>
    <row r="194" spans="1:29" s="1" customFormat="1" ht="24" customHeight="1">
      <c r="A194" s="30" t="s">
        <v>124</v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1" t="s">
        <v>89</v>
      </c>
      <c r="M194" s="31"/>
      <c r="N194" s="31"/>
      <c r="O194" s="31" t="s">
        <v>230</v>
      </c>
      <c r="P194" s="31"/>
      <c r="Q194" s="31"/>
      <c r="R194" s="32" t="s">
        <v>125</v>
      </c>
      <c r="S194" s="32"/>
      <c r="T194" s="33">
        <f>30000</f>
        <v>30000</v>
      </c>
      <c r="U194" s="33"/>
      <c r="V194" s="33"/>
      <c r="W194" s="33">
        <f>22000</f>
        <v>22000</v>
      </c>
      <c r="X194" s="33"/>
      <c r="Y194" s="33"/>
      <c r="Z194" s="33"/>
      <c r="AA194" s="33"/>
      <c r="AB194" s="34">
        <f>8000</f>
        <v>8000</v>
      </c>
      <c r="AC194" s="34"/>
    </row>
    <row r="195" spans="1:29" s="1" customFormat="1" ht="15" customHeight="1">
      <c r="A195" s="36" t="s">
        <v>231</v>
      </c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7" t="s">
        <v>232</v>
      </c>
      <c r="M195" s="37"/>
      <c r="N195" s="37"/>
      <c r="O195" s="37" t="s">
        <v>36</v>
      </c>
      <c r="P195" s="37"/>
      <c r="Q195" s="37"/>
      <c r="R195" s="38" t="s">
        <v>36</v>
      </c>
      <c r="S195" s="38"/>
      <c r="T195" s="39">
        <f>-2543152.53</f>
        <v>-2543152.53</v>
      </c>
      <c r="U195" s="39"/>
      <c r="V195" s="39"/>
      <c r="W195" s="39">
        <f>-218418.41</f>
        <v>-218418.41</v>
      </c>
      <c r="X195" s="39"/>
      <c r="Y195" s="39"/>
      <c r="Z195" s="39"/>
      <c r="AA195" s="39"/>
      <c r="AB195" s="40" t="s">
        <v>36</v>
      </c>
      <c r="AC195" s="40"/>
    </row>
    <row r="196" spans="1:29" s="1" customFormat="1" ht="13.5" customHeight="1">
      <c r="A196" s="7" t="s">
        <v>10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s="1" customFormat="1" ht="13.5" customHeight="1">
      <c r="A197" s="12" t="s">
        <v>233</v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</row>
    <row r="198" spans="1:29" s="1" customFormat="1" ht="45.75" customHeight="1">
      <c r="A198" s="13" t="s">
        <v>22</v>
      </c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 t="s">
        <v>23</v>
      </c>
      <c r="N198" s="13"/>
      <c r="O198" s="13"/>
      <c r="P198" s="13" t="s">
        <v>234</v>
      </c>
      <c r="Q198" s="13"/>
      <c r="R198" s="13"/>
      <c r="S198" s="14" t="s">
        <v>25</v>
      </c>
      <c r="T198" s="14"/>
      <c r="U198" s="14"/>
      <c r="V198" s="14" t="s">
        <v>26</v>
      </c>
      <c r="W198" s="14"/>
      <c r="X198" s="14"/>
      <c r="Y198" s="14"/>
      <c r="Z198" s="14"/>
      <c r="AA198" s="15" t="s">
        <v>27</v>
      </c>
      <c r="AB198" s="15"/>
      <c r="AC198" s="15"/>
    </row>
    <row r="199" spans="1:29" s="1" customFormat="1" ht="12.75" customHeight="1">
      <c r="A199" s="16" t="s">
        <v>28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 t="s">
        <v>29</v>
      </c>
      <c r="N199" s="16"/>
      <c r="O199" s="16"/>
      <c r="P199" s="16" t="s">
        <v>30</v>
      </c>
      <c r="Q199" s="16"/>
      <c r="R199" s="16"/>
      <c r="S199" s="17" t="s">
        <v>31</v>
      </c>
      <c r="T199" s="17"/>
      <c r="U199" s="17"/>
      <c r="V199" s="17" t="s">
        <v>32</v>
      </c>
      <c r="W199" s="17"/>
      <c r="X199" s="17"/>
      <c r="Y199" s="17"/>
      <c r="Z199" s="17"/>
      <c r="AA199" s="18" t="s">
        <v>33</v>
      </c>
      <c r="AB199" s="18"/>
      <c r="AC199" s="18"/>
    </row>
    <row r="200" spans="1:29" s="1" customFormat="1" ht="13.5" customHeight="1">
      <c r="A200" s="19" t="s">
        <v>235</v>
      </c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20" t="s">
        <v>236</v>
      </c>
      <c r="N200" s="20"/>
      <c r="O200" s="20"/>
      <c r="P200" s="20" t="s">
        <v>36</v>
      </c>
      <c r="Q200" s="20"/>
      <c r="R200" s="20"/>
      <c r="S200" s="41">
        <f>2543152.53</f>
        <v>2543152.53</v>
      </c>
      <c r="T200" s="41"/>
      <c r="U200" s="41"/>
      <c r="V200" s="21">
        <f>218418.41</f>
        <v>218418.41</v>
      </c>
      <c r="W200" s="21"/>
      <c r="X200" s="21"/>
      <c r="Y200" s="21"/>
      <c r="Z200" s="21"/>
      <c r="AA200" s="42" t="s">
        <v>36</v>
      </c>
      <c r="AB200" s="42"/>
      <c r="AC200" s="42"/>
    </row>
    <row r="201" spans="1:29" s="1" customFormat="1" ht="13.5" customHeight="1">
      <c r="A201" s="43" t="s">
        <v>237</v>
      </c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4" t="s">
        <v>10</v>
      </c>
      <c r="N201" s="44"/>
      <c r="O201" s="44"/>
      <c r="P201" s="44" t="s">
        <v>10</v>
      </c>
      <c r="Q201" s="44"/>
      <c r="R201" s="44"/>
      <c r="S201" s="45" t="s">
        <v>10</v>
      </c>
      <c r="T201" s="45"/>
      <c r="U201" s="45"/>
      <c r="V201" s="46" t="s">
        <v>10</v>
      </c>
      <c r="W201" s="46"/>
      <c r="X201" s="46"/>
      <c r="Y201" s="46"/>
      <c r="Z201" s="46"/>
      <c r="AA201" s="47" t="s">
        <v>10</v>
      </c>
      <c r="AB201" s="47"/>
      <c r="AC201" s="47"/>
    </row>
    <row r="202" spans="1:29" s="1" customFormat="1" ht="13.5" customHeight="1">
      <c r="A202" s="23" t="s">
        <v>238</v>
      </c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48" t="s">
        <v>239</v>
      </c>
      <c r="N202" s="48"/>
      <c r="O202" s="48"/>
      <c r="P202" s="24" t="s">
        <v>36</v>
      </c>
      <c r="Q202" s="24"/>
      <c r="R202" s="24"/>
      <c r="S202" s="49" t="s">
        <v>45</v>
      </c>
      <c r="T202" s="49"/>
      <c r="U202" s="49"/>
      <c r="V202" s="50" t="s">
        <v>45</v>
      </c>
      <c r="W202" s="50"/>
      <c r="X202" s="50"/>
      <c r="Y202" s="50"/>
      <c r="Z202" s="50"/>
      <c r="AA202" s="51" t="s">
        <v>45</v>
      </c>
      <c r="AB202" s="51"/>
      <c r="AC202" s="51"/>
    </row>
    <row r="203" spans="1:29" s="1" customFormat="1" ht="13.5" customHeight="1">
      <c r="A203" s="32" t="s">
        <v>10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</row>
    <row r="204" spans="1:29" s="1" customFormat="1" ht="13.5" customHeight="1">
      <c r="A204" s="30" t="s">
        <v>240</v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44" t="s">
        <v>241</v>
      </c>
      <c r="N204" s="44"/>
      <c r="O204" s="44"/>
      <c r="P204" s="44" t="s">
        <v>36</v>
      </c>
      <c r="Q204" s="44"/>
      <c r="R204" s="44"/>
      <c r="S204" s="45" t="s">
        <v>45</v>
      </c>
      <c r="T204" s="45"/>
      <c r="U204" s="45"/>
      <c r="V204" s="35" t="s">
        <v>45</v>
      </c>
      <c r="W204" s="35"/>
      <c r="X204" s="35"/>
      <c r="Y204" s="35"/>
      <c r="Z204" s="35"/>
      <c r="AA204" s="47" t="s">
        <v>45</v>
      </c>
      <c r="AB204" s="47"/>
      <c r="AC204" s="47"/>
    </row>
    <row r="205" spans="1:29" s="1" customFormat="1" ht="13.5" customHeight="1">
      <c r="A205" s="30" t="s">
        <v>10</v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1" t="s">
        <v>241</v>
      </c>
      <c r="N205" s="31"/>
      <c r="O205" s="31"/>
      <c r="P205" s="31" t="s">
        <v>10</v>
      </c>
      <c r="Q205" s="31"/>
      <c r="R205" s="31"/>
      <c r="S205" s="52" t="s">
        <v>45</v>
      </c>
      <c r="T205" s="52"/>
      <c r="U205" s="52"/>
      <c r="V205" s="35" t="s">
        <v>45</v>
      </c>
      <c r="W205" s="35"/>
      <c r="X205" s="35"/>
      <c r="Y205" s="35"/>
      <c r="Z205" s="35"/>
      <c r="AA205" s="53" t="s">
        <v>45</v>
      </c>
      <c r="AB205" s="53"/>
      <c r="AC205" s="53"/>
    </row>
    <row r="206" spans="1:29" s="1" customFormat="1" ht="13.5" customHeight="1">
      <c r="A206" s="30" t="s">
        <v>242</v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1" t="s">
        <v>243</v>
      </c>
      <c r="N206" s="31"/>
      <c r="O206" s="31"/>
      <c r="P206" s="31" t="s">
        <v>244</v>
      </c>
      <c r="Q206" s="31"/>
      <c r="R206" s="31"/>
      <c r="S206" s="54">
        <f>2543152.53</f>
        <v>2543152.53</v>
      </c>
      <c r="T206" s="54"/>
      <c r="U206" s="54"/>
      <c r="V206" s="33">
        <f>218418.41</f>
        <v>218418.41</v>
      </c>
      <c r="W206" s="33"/>
      <c r="X206" s="33"/>
      <c r="Y206" s="33"/>
      <c r="Z206" s="33"/>
      <c r="AA206" s="55">
        <f>2324734.12</f>
        <v>2324734.12</v>
      </c>
      <c r="AB206" s="55"/>
      <c r="AC206" s="55"/>
    </row>
    <row r="207" spans="1:29" s="1" customFormat="1" ht="13.5" customHeight="1">
      <c r="A207" s="30" t="s">
        <v>245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1" t="s">
        <v>246</v>
      </c>
      <c r="N207" s="31"/>
      <c r="O207" s="31"/>
      <c r="P207" s="31" t="s">
        <v>247</v>
      </c>
      <c r="Q207" s="31"/>
      <c r="R207" s="31"/>
      <c r="S207" s="54">
        <f>-46444249.97</f>
        <v>-46444249.97</v>
      </c>
      <c r="T207" s="54"/>
      <c r="U207" s="54"/>
      <c r="V207" s="33">
        <f>-35026571.55</f>
        <v>-35026571.55</v>
      </c>
      <c r="W207" s="33"/>
      <c r="X207" s="33"/>
      <c r="Y207" s="33"/>
      <c r="Z207" s="33"/>
      <c r="AA207" s="56" t="s">
        <v>36</v>
      </c>
      <c r="AB207" s="56"/>
      <c r="AC207" s="56"/>
    </row>
    <row r="208" spans="1:29" s="1" customFormat="1" ht="13.5" customHeight="1">
      <c r="A208" s="30" t="s">
        <v>248</v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1" t="s">
        <v>249</v>
      </c>
      <c r="N208" s="31"/>
      <c r="O208" s="31"/>
      <c r="P208" s="31" t="s">
        <v>250</v>
      </c>
      <c r="Q208" s="31"/>
      <c r="R208" s="31"/>
      <c r="S208" s="54">
        <f>48987402.5</f>
        <v>48987402.5</v>
      </c>
      <c r="T208" s="54"/>
      <c r="U208" s="54"/>
      <c r="V208" s="33">
        <f>35244989.96</f>
        <v>35244989.96</v>
      </c>
      <c r="W208" s="33"/>
      <c r="X208" s="33"/>
      <c r="Y208" s="33"/>
      <c r="Z208" s="33"/>
      <c r="AA208" s="56" t="s">
        <v>36</v>
      </c>
      <c r="AB208" s="56"/>
      <c r="AC208" s="56"/>
    </row>
    <row r="209" spans="1:29" s="1" customFormat="1" ht="13.5" customHeight="1">
      <c r="A209" s="58" t="s">
        <v>10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:29" s="1" customFormat="1" ht="13.5" customHeight="1">
      <c r="A210" s="7" t="s">
        <v>251</v>
      </c>
      <c r="B210" s="7"/>
      <c r="C210" s="7"/>
      <c r="D210" s="7"/>
      <c r="E210" s="7"/>
      <c r="F210" s="7"/>
      <c r="G210" s="7"/>
      <c r="H210" s="7"/>
      <c r="I210" s="57" t="s">
        <v>10</v>
      </c>
      <c r="J210" s="57"/>
      <c r="K210" s="57"/>
      <c r="L210" s="57"/>
      <c r="M210" s="57"/>
      <c r="N210" s="57"/>
      <c r="O210" s="57"/>
      <c r="P210" s="57" t="s">
        <v>252</v>
      </c>
      <c r="Q210" s="57"/>
      <c r="R210" s="57"/>
      <c r="S210" s="57"/>
      <c r="T210" s="57"/>
      <c r="U210" s="7" t="s">
        <v>10</v>
      </c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13.5" customHeight="1">
      <c r="A211" s="7" t="s">
        <v>10</v>
      </c>
      <c r="B211" s="7"/>
      <c r="C211" s="7"/>
      <c r="D211" s="7"/>
      <c r="E211" s="7"/>
      <c r="F211" s="7"/>
      <c r="G211" s="7"/>
      <c r="H211" s="7"/>
      <c r="I211" s="10" t="s">
        <v>10</v>
      </c>
      <c r="J211" s="59" t="s">
        <v>253</v>
      </c>
      <c r="K211" s="59"/>
      <c r="L211" s="59"/>
      <c r="M211" s="59"/>
      <c r="N211" s="7" t="s">
        <v>10</v>
      </c>
      <c r="O211" s="7"/>
      <c r="P211" s="10" t="s">
        <v>10</v>
      </c>
      <c r="Q211" s="59" t="s">
        <v>254</v>
      </c>
      <c r="R211" s="59"/>
      <c r="S211" s="59"/>
      <c r="T211" s="7" t="s">
        <v>10</v>
      </c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s="1" customFormat="1" ht="7.5" customHeight="1">
      <c r="A212" s="7" t="s">
        <v>10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s="1" customFormat="1" ht="13.5" customHeight="1">
      <c r="A213" s="7" t="s">
        <v>255</v>
      </c>
      <c r="B213" s="7"/>
      <c r="C213" s="7"/>
      <c r="D213" s="7"/>
      <c r="E213" s="7"/>
      <c r="F213" s="7"/>
      <c r="G213" s="7"/>
      <c r="H213" s="7"/>
      <c r="I213" s="57" t="s">
        <v>10</v>
      </c>
      <c r="J213" s="57"/>
      <c r="K213" s="57"/>
      <c r="L213" s="57"/>
      <c r="M213" s="57"/>
      <c r="N213" s="57"/>
      <c r="O213" s="57"/>
      <c r="P213" s="57" t="s">
        <v>256</v>
      </c>
      <c r="Q213" s="57"/>
      <c r="R213" s="57"/>
      <c r="S213" s="57"/>
      <c r="T213" s="57"/>
      <c r="U213" s="7" t="s">
        <v>10</v>
      </c>
      <c r="V213" s="7"/>
      <c r="W213" s="7"/>
      <c r="X213" s="7"/>
      <c r="Y213" s="7"/>
      <c r="Z213" s="7"/>
      <c r="AA213" s="7"/>
      <c r="AB213" s="7"/>
      <c r="AC213" s="7"/>
    </row>
    <row r="214" spans="1:29" s="1" customFormat="1" ht="13.5" customHeight="1">
      <c r="A214" s="7" t="s">
        <v>10</v>
      </c>
      <c r="B214" s="7"/>
      <c r="C214" s="7"/>
      <c r="D214" s="7"/>
      <c r="E214" s="7"/>
      <c r="F214" s="7"/>
      <c r="G214" s="7"/>
      <c r="H214" s="7"/>
      <c r="I214" s="10" t="s">
        <v>10</v>
      </c>
      <c r="J214" s="59" t="s">
        <v>253</v>
      </c>
      <c r="K214" s="59"/>
      <c r="L214" s="59"/>
      <c r="M214" s="59"/>
      <c r="N214" s="7" t="s">
        <v>10</v>
      </c>
      <c r="O214" s="7"/>
      <c r="P214" s="10" t="s">
        <v>10</v>
      </c>
      <c r="Q214" s="59" t="s">
        <v>254</v>
      </c>
      <c r="R214" s="59"/>
      <c r="S214" s="59"/>
      <c r="T214" s="7" t="s">
        <v>10</v>
      </c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7.5" customHeight="1">
      <c r="A215" s="7" t="s">
        <v>10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s="1" customFormat="1" ht="13.5" customHeight="1">
      <c r="A216" s="7" t="s">
        <v>257</v>
      </c>
      <c r="B216" s="7"/>
      <c r="C216" s="57" t="s">
        <v>255</v>
      </c>
      <c r="D216" s="57"/>
      <c r="E216" s="57"/>
      <c r="F216" s="57"/>
      <c r="G216" s="57"/>
      <c r="H216" s="57"/>
      <c r="I216" s="57" t="s">
        <v>10</v>
      </c>
      <c r="J216" s="57"/>
      <c r="K216" s="57"/>
      <c r="L216" s="57"/>
      <c r="M216" s="57"/>
      <c r="N216" s="57"/>
      <c r="O216" s="57"/>
      <c r="P216" s="57" t="s">
        <v>256</v>
      </c>
      <c r="Q216" s="57"/>
      <c r="R216" s="57"/>
      <c r="S216" s="57"/>
      <c r="T216" s="57"/>
      <c r="U216" s="7" t="s">
        <v>10</v>
      </c>
      <c r="V216" s="7"/>
      <c r="W216" s="7"/>
      <c r="X216" s="7"/>
      <c r="Y216" s="7"/>
      <c r="Z216" s="7"/>
      <c r="AA216" s="7"/>
      <c r="AB216" s="7"/>
      <c r="AC216" s="7"/>
    </row>
    <row r="217" spans="1:29" s="1" customFormat="1" ht="13.5" customHeight="1">
      <c r="A217" s="7" t="s">
        <v>10</v>
      </c>
      <c r="B217" s="7"/>
      <c r="C217" s="10" t="s">
        <v>10</v>
      </c>
      <c r="D217" s="59" t="s">
        <v>258</v>
      </c>
      <c r="E217" s="59"/>
      <c r="F217" s="59"/>
      <c r="G217" s="59"/>
      <c r="H217" s="10" t="s">
        <v>10</v>
      </c>
      <c r="I217" s="10" t="s">
        <v>10</v>
      </c>
      <c r="J217" s="59" t="s">
        <v>253</v>
      </c>
      <c r="K217" s="59"/>
      <c r="L217" s="59"/>
      <c r="M217" s="59"/>
      <c r="N217" s="7" t="s">
        <v>10</v>
      </c>
      <c r="O217" s="7"/>
      <c r="P217" s="10" t="s">
        <v>10</v>
      </c>
      <c r="Q217" s="59" t="s">
        <v>254</v>
      </c>
      <c r="R217" s="59"/>
      <c r="S217" s="59"/>
      <c r="T217" s="7" t="s">
        <v>10</v>
      </c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s="1" customFormat="1" ht="15.75" customHeight="1">
      <c r="A218" s="7" t="s">
        <v>10</v>
      </c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s="1" customFormat="1" ht="13.5" customHeight="1">
      <c r="A219" s="60" t="s">
        <v>259</v>
      </c>
      <c r="B219" s="60"/>
      <c r="C219" s="60"/>
      <c r="D219" s="60"/>
      <c r="E219" s="60"/>
      <c r="F219" s="60"/>
      <c r="G219" s="60"/>
      <c r="H219" s="60"/>
      <c r="I219" s="60"/>
      <c r="J219" s="60"/>
      <c r="K219" s="7" t="s">
        <v>10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s="1" customFormat="1" ht="13.5" customHeight="1">
      <c r="A220" s="4" t="s">
        <v>260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</sheetData>
  <sheetProtection/>
  <mergeCells count="1379">
    <mergeCell ref="A218:AC218"/>
    <mergeCell ref="A219:J219"/>
    <mergeCell ref="K219:AC219"/>
    <mergeCell ref="A220:AC220"/>
    <mergeCell ref="A217:B217"/>
    <mergeCell ref="D217:G217"/>
    <mergeCell ref="J217:M217"/>
    <mergeCell ref="N217:O217"/>
    <mergeCell ref="Q217:S217"/>
    <mergeCell ref="T217:AC217"/>
    <mergeCell ref="A215:AC215"/>
    <mergeCell ref="A216:B216"/>
    <mergeCell ref="C216:H216"/>
    <mergeCell ref="I216:O216"/>
    <mergeCell ref="P216:T216"/>
    <mergeCell ref="U216:AC216"/>
    <mergeCell ref="A212:AC212"/>
    <mergeCell ref="A213:H213"/>
    <mergeCell ref="I213:O213"/>
    <mergeCell ref="P213:T213"/>
    <mergeCell ref="U213:AC213"/>
    <mergeCell ref="A214:H214"/>
    <mergeCell ref="J214:M214"/>
    <mergeCell ref="N214:O214"/>
    <mergeCell ref="Q214:S214"/>
    <mergeCell ref="T214:AC214"/>
    <mergeCell ref="A209:AC209"/>
    <mergeCell ref="A210:H210"/>
    <mergeCell ref="I210:O210"/>
    <mergeCell ref="P210:T210"/>
    <mergeCell ref="U210:AC210"/>
    <mergeCell ref="A211:H211"/>
    <mergeCell ref="J211:M211"/>
    <mergeCell ref="N211:O211"/>
    <mergeCell ref="Q211:S211"/>
    <mergeCell ref="T211:AC211"/>
    <mergeCell ref="A208:L208"/>
    <mergeCell ref="M208:O208"/>
    <mergeCell ref="P208:R208"/>
    <mergeCell ref="S208:U208"/>
    <mergeCell ref="V208:Z208"/>
    <mergeCell ref="AA208:AC208"/>
    <mergeCell ref="A207:L207"/>
    <mergeCell ref="M207:O207"/>
    <mergeCell ref="P207:R207"/>
    <mergeCell ref="S207:U207"/>
    <mergeCell ref="V207:Z207"/>
    <mergeCell ref="AA207:AC207"/>
    <mergeCell ref="A206:L206"/>
    <mergeCell ref="M206:O206"/>
    <mergeCell ref="P206:R206"/>
    <mergeCell ref="S206:U206"/>
    <mergeCell ref="V206:Z206"/>
    <mergeCell ref="AA206:AC206"/>
    <mergeCell ref="A205:L205"/>
    <mergeCell ref="M205:O205"/>
    <mergeCell ref="P205:R205"/>
    <mergeCell ref="S205:U205"/>
    <mergeCell ref="V205:Z205"/>
    <mergeCell ref="AA205:AC205"/>
    <mergeCell ref="A203:AC203"/>
    <mergeCell ref="A204:L204"/>
    <mergeCell ref="M204:O204"/>
    <mergeCell ref="P204:R204"/>
    <mergeCell ref="S204:U204"/>
    <mergeCell ref="V204:Z204"/>
    <mergeCell ref="AA204:AC204"/>
    <mergeCell ref="A202:L202"/>
    <mergeCell ref="M202:O202"/>
    <mergeCell ref="P202:R202"/>
    <mergeCell ref="S202:U202"/>
    <mergeCell ref="V202:Z202"/>
    <mergeCell ref="AA202:AC202"/>
    <mergeCell ref="A201:L201"/>
    <mergeCell ref="M201:O201"/>
    <mergeCell ref="P201:R201"/>
    <mergeCell ref="S201:U201"/>
    <mergeCell ref="V201:Z201"/>
    <mergeCell ref="AA201:AC201"/>
    <mergeCell ref="A200:L200"/>
    <mergeCell ref="M200:O200"/>
    <mergeCell ref="P200:R200"/>
    <mergeCell ref="S200:U200"/>
    <mergeCell ref="V200:Z200"/>
    <mergeCell ref="AA200:AC200"/>
    <mergeCell ref="A199:L199"/>
    <mergeCell ref="M199:O199"/>
    <mergeCell ref="P199:R199"/>
    <mergeCell ref="S199:U199"/>
    <mergeCell ref="V199:Z199"/>
    <mergeCell ref="AA199:AC199"/>
    <mergeCell ref="AB195:AC195"/>
    <mergeCell ref="A196:AC196"/>
    <mergeCell ref="A197:AC197"/>
    <mergeCell ref="A198:L198"/>
    <mergeCell ref="M198:O198"/>
    <mergeCell ref="P198:R198"/>
    <mergeCell ref="S198:U198"/>
    <mergeCell ref="V198:Z198"/>
    <mergeCell ref="AA198:AC198"/>
    <mergeCell ref="A195:K195"/>
    <mergeCell ref="L195:N195"/>
    <mergeCell ref="O195:Q195"/>
    <mergeCell ref="R195:S195"/>
    <mergeCell ref="T195:V195"/>
    <mergeCell ref="W195:AA195"/>
    <mergeCell ref="AB193:AC193"/>
    <mergeCell ref="A194:K194"/>
    <mergeCell ref="L194:N194"/>
    <mergeCell ref="O194:Q194"/>
    <mergeCell ref="R194:S194"/>
    <mergeCell ref="T194:V194"/>
    <mergeCell ref="W194:AA194"/>
    <mergeCell ref="AB194:AC194"/>
    <mergeCell ref="A193:K193"/>
    <mergeCell ref="L193:N193"/>
    <mergeCell ref="O193:Q193"/>
    <mergeCell ref="R193:S193"/>
    <mergeCell ref="T193:V193"/>
    <mergeCell ref="W193:AA193"/>
    <mergeCell ref="AB191:AC191"/>
    <mergeCell ref="A192:K192"/>
    <mergeCell ref="L192:N192"/>
    <mergeCell ref="O192:Q192"/>
    <mergeCell ref="R192:S192"/>
    <mergeCell ref="T192:V192"/>
    <mergeCell ref="W192:AA192"/>
    <mergeCell ref="AB192:AC192"/>
    <mergeCell ref="A191:K191"/>
    <mergeCell ref="L191:N191"/>
    <mergeCell ref="O191:Q191"/>
    <mergeCell ref="R191:S191"/>
    <mergeCell ref="T191:V191"/>
    <mergeCell ref="W191:AA191"/>
    <mergeCell ref="AB189:AC189"/>
    <mergeCell ref="A190:K190"/>
    <mergeCell ref="L190:N190"/>
    <mergeCell ref="O190:Q190"/>
    <mergeCell ref="R190:S190"/>
    <mergeCell ref="T190:V190"/>
    <mergeCell ref="W190:AA190"/>
    <mergeCell ref="AB190:AC190"/>
    <mergeCell ref="A189:K189"/>
    <mergeCell ref="L189:N189"/>
    <mergeCell ref="O189:Q189"/>
    <mergeCell ref="R189:S189"/>
    <mergeCell ref="T189:V189"/>
    <mergeCell ref="W189:AA189"/>
    <mergeCell ref="AB187:AC187"/>
    <mergeCell ref="A188:K188"/>
    <mergeCell ref="L188:N188"/>
    <mergeCell ref="O188:Q188"/>
    <mergeCell ref="R188:S188"/>
    <mergeCell ref="T188:V188"/>
    <mergeCell ref="W188:AA188"/>
    <mergeCell ref="AB188:AC188"/>
    <mergeCell ref="A187:K187"/>
    <mergeCell ref="L187:N187"/>
    <mergeCell ref="O187:Q187"/>
    <mergeCell ref="R187:S187"/>
    <mergeCell ref="T187:V187"/>
    <mergeCell ref="W187:AA187"/>
    <mergeCell ref="AB185:AC185"/>
    <mergeCell ref="A186:K186"/>
    <mergeCell ref="L186:N186"/>
    <mergeCell ref="O186:Q186"/>
    <mergeCell ref="R186:S186"/>
    <mergeCell ref="T186:V186"/>
    <mergeCell ref="W186:AA186"/>
    <mergeCell ref="AB186:AC186"/>
    <mergeCell ref="A185:K185"/>
    <mergeCell ref="L185:N185"/>
    <mergeCell ref="O185:Q185"/>
    <mergeCell ref="R185:S185"/>
    <mergeCell ref="T185:V185"/>
    <mergeCell ref="W185:AA185"/>
    <mergeCell ref="AB183:AC183"/>
    <mergeCell ref="A184:K184"/>
    <mergeCell ref="L184:N184"/>
    <mergeCell ref="O184:Q184"/>
    <mergeCell ref="R184:S184"/>
    <mergeCell ref="T184:V184"/>
    <mergeCell ref="W184:AA184"/>
    <mergeCell ref="AB184:AC184"/>
    <mergeCell ref="A183:K183"/>
    <mergeCell ref="L183:N183"/>
    <mergeCell ref="O183:Q183"/>
    <mergeCell ref="R183:S183"/>
    <mergeCell ref="T183:V183"/>
    <mergeCell ref="W183:AA183"/>
    <mergeCell ref="AB181:AC181"/>
    <mergeCell ref="A182:K182"/>
    <mergeCell ref="L182:N182"/>
    <mergeCell ref="O182:Q182"/>
    <mergeCell ref="R182:S182"/>
    <mergeCell ref="T182:V182"/>
    <mergeCell ref="W182:AA182"/>
    <mergeCell ref="AB182:AC182"/>
    <mergeCell ref="A181:K181"/>
    <mergeCell ref="L181:N181"/>
    <mergeCell ref="O181:Q181"/>
    <mergeCell ref="R181:S181"/>
    <mergeCell ref="T181:V181"/>
    <mergeCell ref="W181:AA181"/>
    <mergeCell ref="AB179:AC179"/>
    <mergeCell ref="A180:K180"/>
    <mergeCell ref="L180:N180"/>
    <mergeCell ref="O180:Q180"/>
    <mergeCell ref="R180:S180"/>
    <mergeCell ref="T180:V180"/>
    <mergeCell ref="W180:AA180"/>
    <mergeCell ref="AB180:AC180"/>
    <mergeCell ref="A179:K179"/>
    <mergeCell ref="L179:N179"/>
    <mergeCell ref="O179:Q179"/>
    <mergeCell ref="R179:S179"/>
    <mergeCell ref="T179:V179"/>
    <mergeCell ref="W179:AA179"/>
    <mergeCell ref="AB177:AC177"/>
    <mergeCell ref="A178:K178"/>
    <mergeCell ref="L178:N178"/>
    <mergeCell ref="O178:Q178"/>
    <mergeCell ref="R178:S178"/>
    <mergeCell ref="T178:V178"/>
    <mergeCell ref="W178:AA178"/>
    <mergeCell ref="AB178:AC178"/>
    <mergeCell ref="A177:K177"/>
    <mergeCell ref="L177:N177"/>
    <mergeCell ref="O177:Q177"/>
    <mergeCell ref="R177:S177"/>
    <mergeCell ref="T177:V177"/>
    <mergeCell ref="W177:AA177"/>
    <mergeCell ref="AB175:AC175"/>
    <mergeCell ref="A176:K176"/>
    <mergeCell ref="L176:N176"/>
    <mergeCell ref="O176:Q176"/>
    <mergeCell ref="R176:S176"/>
    <mergeCell ref="T176:V176"/>
    <mergeCell ref="W176:AA176"/>
    <mergeCell ref="AB176:AC176"/>
    <mergeCell ref="A175:K175"/>
    <mergeCell ref="L175:N175"/>
    <mergeCell ref="O175:Q175"/>
    <mergeCell ref="R175:S175"/>
    <mergeCell ref="T175:V175"/>
    <mergeCell ref="W175:AA175"/>
    <mergeCell ref="AB173:AC173"/>
    <mergeCell ref="A174:K174"/>
    <mergeCell ref="L174:N174"/>
    <mergeCell ref="O174:Q174"/>
    <mergeCell ref="R174:S174"/>
    <mergeCell ref="T174:V174"/>
    <mergeCell ref="W174:AA174"/>
    <mergeCell ref="AB174:AC174"/>
    <mergeCell ref="A173:K173"/>
    <mergeCell ref="L173:N173"/>
    <mergeCell ref="O173:Q173"/>
    <mergeCell ref="R173:S173"/>
    <mergeCell ref="T173:V173"/>
    <mergeCell ref="W173:AA173"/>
    <mergeCell ref="AB171:AC171"/>
    <mergeCell ref="A172:K172"/>
    <mergeCell ref="L172:N172"/>
    <mergeCell ref="O172:Q172"/>
    <mergeCell ref="R172:S172"/>
    <mergeCell ref="T172:V172"/>
    <mergeCell ref="W172:AA172"/>
    <mergeCell ref="AB172:AC172"/>
    <mergeCell ref="A171:K171"/>
    <mergeCell ref="L171:N171"/>
    <mergeCell ref="O171:Q171"/>
    <mergeCell ref="R171:S171"/>
    <mergeCell ref="T171:V171"/>
    <mergeCell ref="W171:AA171"/>
    <mergeCell ref="AB169:AC169"/>
    <mergeCell ref="A170:K170"/>
    <mergeCell ref="L170:N170"/>
    <mergeCell ref="O170:Q170"/>
    <mergeCell ref="R170:S170"/>
    <mergeCell ref="T170:V170"/>
    <mergeCell ref="W170:AA170"/>
    <mergeCell ref="AB170:AC170"/>
    <mergeCell ref="A169:K169"/>
    <mergeCell ref="L169:N169"/>
    <mergeCell ref="O169:Q169"/>
    <mergeCell ref="R169:S169"/>
    <mergeCell ref="T169:V169"/>
    <mergeCell ref="W169:AA169"/>
    <mergeCell ref="AB167:AC167"/>
    <mergeCell ref="A168:K168"/>
    <mergeCell ref="L168:N168"/>
    <mergeCell ref="O168:Q168"/>
    <mergeCell ref="R168:S168"/>
    <mergeCell ref="T168:V168"/>
    <mergeCell ref="W168:AA168"/>
    <mergeCell ref="AB168:AC168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B39:AC39"/>
    <mergeCell ref="A40:K40"/>
    <mergeCell ref="L40:N40"/>
    <mergeCell ref="O40:Q40"/>
    <mergeCell ref="R40:S40"/>
    <mergeCell ref="T40:V40"/>
    <mergeCell ref="W40:AA40"/>
    <mergeCell ref="AB40:AC40"/>
    <mergeCell ref="A39:K39"/>
    <mergeCell ref="L39:N39"/>
    <mergeCell ref="O39:Q39"/>
    <mergeCell ref="R39:S39"/>
    <mergeCell ref="T39:V39"/>
    <mergeCell ref="W39:AA39"/>
    <mergeCell ref="A36:AC36"/>
    <mergeCell ref="A37:AC37"/>
    <mergeCell ref="A38:K38"/>
    <mergeCell ref="L38:N38"/>
    <mergeCell ref="O38:Q38"/>
    <mergeCell ref="R38:S38"/>
    <mergeCell ref="T38:V38"/>
    <mergeCell ref="W38:AA38"/>
    <mergeCell ref="AB38:AC38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6" max="255" man="1"/>
    <brk id="196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2019-10-17T05:11:50Z</dcterms:created>
  <dcterms:modified xsi:type="dcterms:W3CDTF">2019-10-17T05:11:50Z</dcterms:modified>
  <cp:category/>
  <cp:version/>
  <cp:contentType/>
  <cp:contentStatus/>
</cp:coreProperties>
</file>