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<sst xmlns="http://schemas.openxmlformats.org/spreadsheetml/2006/main" count="699" uniqueCount="240">
  <si>
    <t>ОТЧЕТ ОБ ИСПОЛНЕНИИ БЮДЖЕТА</t>
  </si>
  <si>
    <t>КОДЫ</t>
  </si>
  <si>
    <t xml:space="preserve">Форма по ОКУД </t>
  </si>
  <si>
    <t>0503117</t>
  </si>
  <si>
    <t>на 1 июля 2023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</si>
  <si>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</si>
  <si>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</si>
  <si>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</si>
  <si>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</si>
  <si>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</si>
  <si>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</si>
  <si>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</si>
  <si>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</si>
  <si>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</si>
  <si>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</si>
  <si>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</si>
  <si>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</si>
  <si>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</si>
  <si>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</si>
  <si>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</si>
  <si>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</si>
  <si>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</si>
  <si>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</si>
  <si>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</si>
  <si>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</si>
  <si>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</si>
  <si>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</si>
  <si>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</si>
  <si>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</si>
  <si>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</si>
  <si>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</si>
  <si>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</si>
  <si>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</si>
  <si>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</si>
  <si>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</si>
  <si>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</si>
  <si>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</si>
  <si>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</si>
  <si>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</si>
  <si>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</si>
  <si>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</si>
  <si>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</si>
  <si>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</si>
  <si>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</si>
  <si>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</si>
  <si>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</si>
  <si>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</si>
  <si>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</si>
  <si>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</si>
  <si>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</si>
  <si>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</si>
  <si>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</si>
  <si>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</si>
  <si>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</si>
  <si>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</si>
  <si>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</si>
  <si>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</si>
  <si>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</si>
  <si>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</si>
  <si>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</si>
  <si>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</si>
  <si>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</si>
  <si>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</si>
  <si>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</si>
  <si>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</si>
  <si>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</si>
  <si>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</si>
  <si>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</si>
  <si>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</si>
  <si>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</si>
  <si>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</si>
  <si>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</si>
  <si>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</si>
  <si>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</si>
  <si>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</si>
  <si>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</si>
  <si>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</si>
  <si>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</si>
  <si>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</si>
  <si>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</si>
  <si>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</si>
  <si>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</si>
  <si>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</si>
  <si>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</si>
  <si>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</si>
  <si>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</si>
  <si>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</si>
  <si>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</si>
  <si>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</si>
  <si>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</si>
  <si>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</si>
  <si>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</si>
  <si>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</si>
  <si>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650 0102 0141102030 121</t>
  </si>
  <si>
    <t>211</t>
  </si>
  <si>
    <t>Начисления на выплаты по оплате труда</t>
  </si>
  <si>
    <t>650 0102 0141102030 129</t>
  </si>
  <si>
    <t>213</t>
  </si>
  <si>
    <t>650 0104 0141102040 121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</si>
  <si>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</si>
  <si>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</si>
  <si>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</si>
  <si>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650 0104 0141102040 122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</si>
  <si>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</si>
  <si>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</si>
  <si>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</si>
  <si>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</si>
  <si>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</si>
  <si>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</si>
  <si>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</si>
  <si>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650 0104 0141102040 129</t>
  </si>
  <si>
    <t>Перечисления текущего характера другим бюджетам бюджетной системы Российской Федерации</t>
  </si>
  <si>
    <t>650 0104 0141102040 540</t>
  </si>
  <si>
    <t>251</t>
  </si>
  <si>
    <t>Расходы</t>
  </si>
  <si>
    <t>650 0111 6000007050 870</t>
  </si>
  <si>
    <t>650 0113 0141100590 111</t>
  </si>
  <si>
    <t>650 0113 0141100590 112</t>
  </si>
  <si>
    <t>650 0113 0141100590 119</t>
  </si>
  <si>
    <t>650 0113 0141100590 242</t>
  </si>
  <si>
    <t>Услуги связи</t>
  </si>
  <si>
    <t>650 0113 0141100590 244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</si>
  <si>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</si>
  <si>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</si>
  <si>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</si>
  <si>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</si>
  <si>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</si>
  <si>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</si>
  <si>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</si>
  <si>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</si>
  <si>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</si>
  <si>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</si>
  <si>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</si>
  <si>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</si>
  <si>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</si>
  <si>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650 0113 0141100590 247</t>
  </si>
  <si>
    <t>650 0113 0141102400 242</t>
  </si>
  <si>
    <t>650 0113 0141102400 244</t>
  </si>
  <si>
    <t>Страхование</t>
  </si>
  <si>
    <t>227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</si>
  <si>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</si>
  <si>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</si>
  <si>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</si>
  <si>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650 0113 0141102400 852</t>
  </si>
  <si>
    <t>291</t>
  </si>
  <si>
    <t>650 0113 0141202400 244</t>
  </si>
  <si>
    <t>650 0113 6000002400 244</t>
  </si>
  <si>
    <t>Иные выплаты текущего характера организациям</t>
  </si>
  <si>
    <t>650 0113 6000002400 831</t>
  </si>
  <si>
    <t>297</t>
  </si>
  <si>
    <t>650 0203 0143151180 121</t>
  </si>
  <si>
    <t>650 0203 0143151180 122</t>
  </si>
  <si>
    <t>650 0203 0143151180 129</t>
  </si>
  <si>
    <t>650 0304 0143159300 121</t>
  </si>
  <si>
    <t>650 0304 0143159300 129</t>
  </si>
  <si>
    <t>650 0304 01431D9300 121</t>
  </si>
  <si>
    <t>650 0304 01431D9300 129</t>
  </si>
  <si>
    <t>650 0310 0411200590 244</t>
  </si>
  <si>
    <t>650 0314 0511100590 244</t>
  </si>
  <si>
    <t>650 0314 0511200590 244</t>
  </si>
  <si>
    <t>650 0314 0521182300 123</t>
  </si>
  <si>
    <t>650 0314 0521182300 244</t>
  </si>
  <si>
    <t>650 0314 05211S2300 123</t>
  </si>
  <si>
    <t>650 0314 05211S2300 244</t>
  </si>
  <si>
    <t>650 0401 0142105060 111</t>
  </si>
  <si>
    <t>650 0401 0142105060 119</t>
  </si>
  <si>
    <t>650 0401 0142170145 111</t>
  </si>
  <si>
    <t>650 0401 0142170145 119</t>
  </si>
  <si>
    <t>650 0401 0142185060 111</t>
  </si>
  <si>
    <t>650 0401 0142185060 119</t>
  </si>
  <si>
    <t>650 0401 0142195060 111</t>
  </si>
  <si>
    <t>650 0401 0142195060 119</t>
  </si>
  <si>
    <t>650 0405 0143184200 121</t>
  </si>
  <si>
    <t>650 0405 0143184200 129</t>
  </si>
  <si>
    <t>650 0405 0143184200 244</t>
  </si>
  <si>
    <t>650 0409 0211192400 244</t>
  </si>
  <si>
    <t>650 0409 0211292400 244</t>
  </si>
  <si>
    <t>650 0409 0211392400 244</t>
  </si>
  <si>
    <t>650 0409 0211492400 247</t>
  </si>
  <si>
    <t>650 0409 0211592400 244</t>
  </si>
  <si>
    <t>650 0409 0211692400 244</t>
  </si>
  <si>
    <t>650 0409 0211792400 244</t>
  </si>
  <si>
    <t>650 0409 0211892400 244</t>
  </si>
  <si>
    <t>Увеличение стоимости строительных материалов</t>
  </si>
  <si>
    <t>650 0501 0621102400 244</t>
  </si>
  <si>
    <t>344</t>
  </si>
  <si>
    <t>650 0501 0621202400 244</t>
  </si>
  <si>
    <t>650 0501 0621202400 247</t>
  </si>
  <si>
    <t>650 0501 0621302400 244</t>
  </si>
  <si>
    <t>650 0503 0611100590 244</t>
  </si>
  <si>
    <t>650 0503 0611200590 244</t>
  </si>
  <si>
    <t>650 0505 0141102040 540</t>
  </si>
  <si>
    <t>650 0707 0321100590 111</t>
  </si>
  <si>
    <t>650 0707 0321100590 112</t>
  </si>
  <si>
    <t>650 0707 0321100590 119</t>
  </si>
  <si>
    <t>650 0801 0311100590 111</t>
  </si>
  <si>
    <t>650 0801 0311100590 112</t>
  </si>
  <si>
    <t>650 0801 0311100590 119</t>
  </si>
  <si>
    <t>650 0801 0311100590 244</t>
  </si>
  <si>
    <t>650 0801 0311100590 247</t>
  </si>
  <si>
    <t>650 0801 0311172580 111</t>
  </si>
  <si>
    <t>650 0801 0311172580 119</t>
  </si>
  <si>
    <t>650 0801 0311200590 244</t>
  </si>
  <si>
    <t>Увеличение стоимости материальных запасов для целей капитальных вложений</t>
  </si>
  <si>
    <t>347</t>
  </si>
  <si>
    <t>650 0801 0311270050 244</t>
  </si>
  <si>
    <t>Пенсии, пособия, выплачиваемые работодателями, нанимателями бывшим работникам в денежной форме</t>
  </si>
  <si>
    <t>650 1001 0121100220 312</t>
  </si>
  <si>
    <t>264</t>
  </si>
  <si>
    <t>650 1102 0143200040 244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</si>
  <si>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</si>
  <si>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</si>
  <si>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</si>
  <si>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</si>
  <si>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</si>
  <si>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</si>
  <si>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</si>
  <si>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</si>
  <si>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</si>
  <si>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</si>
  <si>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</si>
  <si>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</si>
  <si>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</si>
  <si>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</si>
  <si>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</si>
  <si>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</si>
  <si>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</si>
  <si>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</si>
  <si>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</si>
  <si>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</si>
  <si>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</si>
  <si>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</si>
  <si>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</si>
  <si>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</si>
  <si>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 финансово-экономической деятельности</t>
  </si>
  <si>
    <t>А. Н. Шепелина</t>
  </si>
  <si>
    <t>Исполнитель:</t>
  </si>
  <si>
    <t>(должность)</t>
  </si>
  <si>
    <t xml:space="preserve">   28 марта 2024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</si>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</sst>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1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" t="s">
        <v>1</v>
      </c>
    </row>
    <row r="2" spans="1:29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 t="s">
        <v>3</v>
      </c>
    </row>
    <row r="3" spans="1:29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5</v>
      </c>
      <c r="AA3" s="9"/>
      <c r="AB3" s="9"/>
      <c r="AC3" s="4">
        <v>45108</v>
      </c>
    </row>
    <row r="4" spans="1:29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 t="s">
        <v>8</v>
      </c>
      <c r="Z4" s="9"/>
      <c r="AA4" s="9"/>
      <c r="AB4" s="9"/>
      <c r="AC4" s="6" t="s">
        <v>10</v>
      </c>
    </row>
    <row r="5" spans="1:29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 t="s">
        <v>9</v>
      </c>
      <c r="Z5" s="9"/>
      <c r="AA5" s="9"/>
      <c r="AB5" s="9"/>
      <c r="AC5" s="6" t="s">
        <v>10</v>
      </c>
    </row>
    <row r="6" spans="1:29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 t="s">
        <v>13</v>
      </c>
      <c r="Z6" s="9"/>
      <c r="AA6" s="9"/>
      <c r="AB6" s="9"/>
      <c r="AC6" s="6" t="s">
        <v>14</v>
      </c>
    </row>
    <row r="7" spans="1:29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" t="s">
        <v>10</v>
      </c>
    </row>
    <row r="8" spans="1:29" s="1" customFormat="1" ht="13.5" customHeight="1">
      <c r="A8" s="10" t="s">
        <v>17</v>
      </c>
      <c r="B8" s="10"/>
      <c r="C8" s="10"/>
      <c r="D8" s="10"/>
      <c r="E8" s="10" t="s">
        <v>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 t="s">
        <v>19</v>
      </c>
      <c r="Y8" s="9"/>
      <c r="Z8" s="9"/>
      <c r="AA8" s="9"/>
      <c r="AB8" s="9"/>
      <c r="AC8" s="7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50479144.81</f>
        <v>50479144.81</v>
      </c>
      <c r="T12" s="21"/>
      <c r="U12" s="21"/>
      <c r="V12" s="21">
        <f>24335064.7</f>
        <v>24335064.7</v>
      </c>
      <c r="W12" s="21"/>
      <c r="X12" s="21"/>
      <c r="Y12" s="21"/>
      <c r="Z12" s="21"/>
      <c r="AA12" s="22">
        <f>26144080.11</f>
        <v>26144080.11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187436.48</f>
        <v>187436.48</v>
      </c>
      <c r="T13" s="25"/>
      <c r="U13" s="25"/>
      <c r="V13" s="25">
        <f>291572.41</f>
        <v>291572.41</v>
      </c>
      <c r="W13" s="25"/>
      <c r="X13" s="25"/>
      <c r="Y13" s="25"/>
      <c r="Z13" s="25"/>
      <c r="AA13" s="26" t="s">
        <v>39</v>
      </c>
      <c r="AB13" s="26"/>
      <c r="AC13" s="26"/>
    </row>
    <row r="14" spans="1:29" s="1" customFormat="1" ht="33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41</v>
      </c>
      <c r="Q14" s="24"/>
      <c r="R14" s="24"/>
      <c r="S14" s="25">
        <f>50000</f>
        <v>50000</v>
      </c>
      <c r="T14" s="25"/>
      <c r="U14" s="25"/>
      <c r="V14" s="25">
        <f>22502.52</f>
        <v>22502.52</v>
      </c>
      <c r="W14" s="25"/>
      <c r="X14" s="25"/>
      <c r="Y14" s="25"/>
      <c r="Z14" s="25"/>
      <c r="AA14" s="27">
        <f>27497.48</f>
        <v>27497.48</v>
      </c>
      <c r="AB14" s="27"/>
      <c r="AC14" s="27"/>
    </row>
    <row r="15" spans="1:29" s="1" customFormat="1" ht="54.7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43</v>
      </c>
      <c r="Q15" s="24"/>
      <c r="R15" s="24"/>
      <c r="S15" s="25">
        <f>4534834.2</f>
        <v>4534834.2</v>
      </c>
      <c r="T15" s="25"/>
      <c r="U15" s="25"/>
      <c r="V15" s="25">
        <f>2493228.82</f>
        <v>2493228.82</v>
      </c>
      <c r="W15" s="25"/>
      <c r="X15" s="25"/>
      <c r="Y15" s="25"/>
      <c r="Z15" s="25"/>
      <c r="AA15" s="27">
        <f>2041605.38</f>
        <v>2041605.38</v>
      </c>
      <c r="AB15" s="27"/>
      <c r="AC15" s="27"/>
    </row>
    <row r="16" spans="1:29" s="1" customFormat="1" ht="24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45</v>
      </c>
      <c r="Q16" s="24"/>
      <c r="R16" s="24"/>
      <c r="S16" s="25">
        <f>15000</f>
        <v>15000</v>
      </c>
      <c r="T16" s="25"/>
      <c r="U16" s="25"/>
      <c r="V16" s="25">
        <f>8991.27</f>
        <v>8991.27</v>
      </c>
      <c r="W16" s="25"/>
      <c r="X16" s="25"/>
      <c r="Y16" s="25"/>
      <c r="Z16" s="25"/>
      <c r="AA16" s="27">
        <f>6008.73</f>
        <v>6008.73</v>
      </c>
      <c r="AB16" s="27"/>
      <c r="AC16" s="27"/>
    </row>
    <row r="17" spans="1:29" s="1" customFormat="1" ht="66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2481600</f>
        <v>2481600</v>
      </c>
      <c r="T17" s="25"/>
      <c r="U17" s="25"/>
      <c r="V17" s="25">
        <f>1471802.08</f>
        <v>1471802.08</v>
      </c>
      <c r="W17" s="25"/>
      <c r="X17" s="25"/>
      <c r="Y17" s="25"/>
      <c r="Z17" s="25"/>
      <c r="AA17" s="27">
        <f>1009797.92</f>
        <v>1009797.92</v>
      </c>
      <c r="AB17" s="27"/>
      <c r="AC17" s="27"/>
    </row>
    <row r="18" spans="1:29" s="1" customFormat="1" ht="75.7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17200</f>
        <v>17200</v>
      </c>
      <c r="T18" s="25"/>
      <c r="U18" s="25"/>
      <c r="V18" s="25">
        <f>7650.31</f>
        <v>7650.31</v>
      </c>
      <c r="W18" s="25"/>
      <c r="X18" s="25"/>
      <c r="Y18" s="25"/>
      <c r="Z18" s="25"/>
      <c r="AA18" s="27">
        <f>9549.69</f>
        <v>9549.69</v>
      </c>
      <c r="AB18" s="27"/>
      <c r="AC18" s="27"/>
    </row>
    <row r="19" spans="1:29" s="1" customFormat="1" ht="66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3067700</f>
        <v>3067700</v>
      </c>
      <c r="T19" s="25"/>
      <c r="U19" s="25"/>
      <c r="V19" s="25">
        <f>1559252.94</f>
        <v>1559252.94</v>
      </c>
      <c r="W19" s="25"/>
      <c r="X19" s="25"/>
      <c r="Y19" s="25"/>
      <c r="Z19" s="25"/>
      <c r="AA19" s="27">
        <f>1508447.06</f>
        <v>1508447.06</v>
      </c>
      <c r="AB19" s="27"/>
      <c r="AC19" s="27"/>
    </row>
    <row r="20" spans="1:29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-327300</f>
        <v>-327300</v>
      </c>
      <c r="T20" s="25"/>
      <c r="U20" s="25"/>
      <c r="V20" s="25">
        <f>-183637.04</f>
        <v>-183637.04</v>
      </c>
      <c r="W20" s="25"/>
      <c r="X20" s="25"/>
      <c r="Y20" s="25"/>
      <c r="Z20" s="25"/>
      <c r="AA20" s="27">
        <f>-143662.96</f>
        <v>-143662.96</v>
      </c>
      <c r="AB20" s="27"/>
      <c r="AC20" s="27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10000</f>
        <v>10000</v>
      </c>
      <c r="T21" s="25"/>
      <c r="U21" s="25"/>
      <c r="V21" s="25">
        <f>2779</f>
        <v>2779</v>
      </c>
      <c r="W21" s="25"/>
      <c r="X21" s="25"/>
      <c r="Y21" s="25"/>
      <c r="Z21" s="25"/>
      <c r="AA21" s="27">
        <f>7221</f>
        <v>7221</v>
      </c>
      <c r="AB21" s="27"/>
      <c r="AC21" s="27"/>
    </row>
    <row r="22" spans="1:29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202000</f>
        <v>202000</v>
      </c>
      <c r="T22" s="25"/>
      <c r="U22" s="25"/>
      <c r="V22" s="25">
        <f>12169.88</f>
        <v>12169.88</v>
      </c>
      <c r="W22" s="25"/>
      <c r="X22" s="25"/>
      <c r="Y22" s="25"/>
      <c r="Z22" s="25"/>
      <c r="AA22" s="27">
        <f>189830.12</f>
        <v>189830.12</v>
      </c>
      <c r="AB22" s="27"/>
      <c r="AC22" s="27"/>
    </row>
    <row r="23" spans="1:29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6500</f>
        <v>6500</v>
      </c>
      <c r="T23" s="25"/>
      <c r="U23" s="25"/>
      <c r="V23" s="25">
        <f>2279.6</f>
        <v>2279.6</v>
      </c>
      <c r="W23" s="25"/>
      <c r="X23" s="25"/>
      <c r="Y23" s="25"/>
      <c r="Z23" s="25"/>
      <c r="AA23" s="27">
        <f>4220.4</f>
        <v>4220.4</v>
      </c>
      <c r="AB23" s="27"/>
      <c r="AC23" s="27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37500</f>
        <v>37500</v>
      </c>
      <c r="T24" s="25"/>
      <c r="U24" s="25"/>
      <c r="V24" s="25">
        <f>3445.8</f>
        <v>3445.8</v>
      </c>
      <c r="W24" s="25"/>
      <c r="X24" s="25"/>
      <c r="Y24" s="25"/>
      <c r="Z24" s="25"/>
      <c r="AA24" s="27">
        <f>34054.2</f>
        <v>34054.2</v>
      </c>
      <c r="AB24" s="27"/>
      <c r="AC24" s="27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600000</f>
        <v>600000</v>
      </c>
      <c r="T25" s="25"/>
      <c r="U25" s="25"/>
      <c r="V25" s="25">
        <f>177308.08</f>
        <v>177308.08</v>
      </c>
      <c r="W25" s="25"/>
      <c r="X25" s="25"/>
      <c r="Y25" s="25"/>
      <c r="Z25" s="25"/>
      <c r="AA25" s="27">
        <f>422691.92</f>
        <v>422691.92</v>
      </c>
      <c r="AB25" s="27"/>
      <c r="AC25" s="27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130000</f>
        <v>130000</v>
      </c>
      <c r="T26" s="25"/>
      <c r="U26" s="25"/>
      <c r="V26" s="25">
        <f>15318.87</f>
        <v>15318.87</v>
      </c>
      <c r="W26" s="25"/>
      <c r="X26" s="25"/>
      <c r="Y26" s="25"/>
      <c r="Z26" s="25"/>
      <c r="AA26" s="27">
        <f>114681.13</f>
        <v>114681.13</v>
      </c>
      <c r="AB26" s="27"/>
      <c r="AC26" s="27"/>
    </row>
    <row r="27" spans="1:29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46000</f>
        <v>46000</v>
      </c>
      <c r="T27" s="25"/>
      <c r="U27" s="25"/>
      <c r="V27" s="25">
        <f>17770</f>
        <v>17770</v>
      </c>
      <c r="W27" s="25"/>
      <c r="X27" s="25"/>
      <c r="Y27" s="25"/>
      <c r="Z27" s="25"/>
      <c r="AA27" s="27">
        <f>28230</f>
        <v>28230</v>
      </c>
      <c r="AB27" s="27"/>
      <c r="AC27" s="27"/>
    </row>
    <row r="28" spans="1:29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141685.67</f>
        <v>141685.67</v>
      </c>
      <c r="T28" s="25"/>
      <c r="U28" s="25"/>
      <c r="V28" s="25">
        <f>83148.82</f>
        <v>83148.82</v>
      </c>
      <c r="W28" s="25"/>
      <c r="X28" s="25"/>
      <c r="Y28" s="25"/>
      <c r="Z28" s="25"/>
      <c r="AA28" s="27">
        <f>58536.85</f>
        <v>58536.85</v>
      </c>
      <c r="AB28" s="27"/>
      <c r="AC28" s="27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750000</f>
        <v>750000</v>
      </c>
      <c r="T29" s="25"/>
      <c r="U29" s="25"/>
      <c r="V29" s="25">
        <f>438001.55</f>
        <v>438001.55</v>
      </c>
      <c r="W29" s="25"/>
      <c r="X29" s="25"/>
      <c r="Y29" s="25"/>
      <c r="Z29" s="25"/>
      <c r="AA29" s="27">
        <f>311998.45</f>
        <v>311998.45</v>
      </c>
      <c r="AB29" s="27"/>
      <c r="AC29" s="27"/>
    </row>
    <row r="30" spans="1:29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346000</f>
        <v>346000</v>
      </c>
      <c r="T30" s="25"/>
      <c r="U30" s="25"/>
      <c r="V30" s="25">
        <f>170904</f>
        <v>170904</v>
      </c>
      <c r="W30" s="25"/>
      <c r="X30" s="25"/>
      <c r="Y30" s="25"/>
      <c r="Z30" s="25"/>
      <c r="AA30" s="27">
        <f>175096</f>
        <v>175096</v>
      </c>
      <c r="AB30" s="27"/>
      <c r="AC30" s="27"/>
    </row>
    <row r="31" spans="1:29" s="1" customFormat="1" ht="54.7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193000</f>
        <v>193000</v>
      </c>
      <c r="T31" s="25"/>
      <c r="U31" s="25"/>
      <c r="V31" s="25">
        <f>193000</f>
        <v>193000</v>
      </c>
      <c r="W31" s="25"/>
      <c r="X31" s="25"/>
      <c r="Y31" s="25"/>
      <c r="Z31" s="25"/>
      <c r="AA31" s="27">
        <f>0</f>
        <v>0</v>
      </c>
      <c r="AB31" s="27"/>
      <c r="AC31" s="27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28737900</f>
        <v>28737900</v>
      </c>
      <c r="T32" s="25"/>
      <c r="U32" s="25"/>
      <c r="V32" s="25">
        <f>14368950.03</f>
        <v>14368950.03</v>
      </c>
      <c r="W32" s="25"/>
      <c r="X32" s="25"/>
      <c r="Y32" s="25"/>
      <c r="Z32" s="25"/>
      <c r="AA32" s="27">
        <f>14368949.97</f>
        <v>14368949.97</v>
      </c>
      <c r="AB32" s="27"/>
      <c r="AC32" s="27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3123.17</f>
        <v>3123.17</v>
      </c>
      <c r="T33" s="25"/>
      <c r="U33" s="25"/>
      <c r="V33" s="25">
        <f>3123.17</f>
        <v>3123.17</v>
      </c>
      <c r="W33" s="25"/>
      <c r="X33" s="25"/>
      <c r="Y33" s="25"/>
      <c r="Z33" s="25"/>
      <c r="AA33" s="27">
        <f>0</f>
        <v>0</v>
      </c>
      <c r="AB33" s="27"/>
      <c r="AC33" s="27"/>
    </row>
    <row r="34" spans="1:29" s="1" customFormat="1" ht="33.7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594700</f>
        <v>594700</v>
      </c>
      <c r="T34" s="25"/>
      <c r="U34" s="25"/>
      <c r="V34" s="25">
        <f>297350</f>
        <v>297350</v>
      </c>
      <c r="W34" s="25"/>
      <c r="X34" s="25"/>
      <c r="Y34" s="25"/>
      <c r="Z34" s="25"/>
      <c r="AA34" s="27">
        <f>297350</f>
        <v>297350</v>
      </c>
      <c r="AB34" s="27"/>
      <c r="AC34" s="27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131940.78</f>
        <v>131940.78</v>
      </c>
      <c r="T35" s="25"/>
      <c r="U35" s="25"/>
      <c r="V35" s="25">
        <f>53320.36</f>
        <v>53320.36</v>
      </c>
      <c r="W35" s="25"/>
      <c r="X35" s="25"/>
      <c r="Y35" s="25"/>
      <c r="Z35" s="25"/>
      <c r="AA35" s="27">
        <f>78620.42</f>
        <v>78620.42</v>
      </c>
      <c r="AB35" s="27"/>
      <c r="AC35" s="27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8522324.51</f>
        <v>8522324.51</v>
      </c>
      <c r="T36" s="25"/>
      <c r="U36" s="25"/>
      <c r="V36" s="25">
        <f>2824832.23</f>
        <v>2824832.23</v>
      </c>
      <c r="W36" s="25"/>
      <c r="X36" s="25"/>
      <c r="Y36" s="25"/>
      <c r="Z36" s="25"/>
      <c r="AA36" s="27">
        <f>5697492.28</f>
        <v>5697492.28</v>
      </c>
      <c r="AB36" s="27"/>
      <c r="AC36" s="27"/>
    </row>
    <row r="37" spans="1:29" s="1" customFormat="1" ht="13.5" customHeight="1">
      <c r="A37" s="28" t="s">
        <v>10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1" customFormat="1" ht="13.5" customHeight="1">
      <c r="A38" s="12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1" customFormat="1" ht="34.5" customHeight="1">
      <c r="A39" s="13" t="s">
        <v>22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 t="s">
        <v>23</v>
      </c>
      <c r="M39" s="13"/>
      <c r="N39" s="13"/>
      <c r="O39" s="13" t="s">
        <v>87</v>
      </c>
      <c r="P39" s="13"/>
      <c r="Q39" s="13"/>
      <c r="R39" s="14" t="s">
        <v>88</v>
      </c>
      <c r="S39" s="14"/>
      <c r="T39" s="14" t="s">
        <v>25</v>
      </c>
      <c r="U39" s="14"/>
      <c r="V39" s="14"/>
      <c r="W39" s="14" t="s">
        <v>26</v>
      </c>
      <c r="X39" s="14"/>
      <c r="Y39" s="14"/>
      <c r="Z39" s="14"/>
      <c r="AA39" s="14"/>
      <c r="AB39" s="15" t="s">
        <v>27</v>
      </c>
      <c r="AC39" s="15"/>
    </row>
    <row r="40" spans="1:29" s="1" customFormat="1" ht="13.5" customHeight="1">
      <c r="A40" s="16" t="s">
        <v>28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 t="s">
        <v>29</v>
      </c>
      <c r="M40" s="16"/>
      <c r="N40" s="16"/>
      <c r="O40" s="16" t="s">
        <v>30</v>
      </c>
      <c r="P40" s="16"/>
      <c r="Q40" s="16"/>
      <c r="R40" s="17" t="s">
        <v>31</v>
      </c>
      <c r="S40" s="17"/>
      <c r="T40" s="17" t="s">
        <v>32</v>
      </c>
      <c r="U40" s="17"/>
      <c r="V40" s="17"/>
      <c r="W40" s="17" t="s">
        <v>33</v>
      </c>
      <c r="X40" s="17"/>
      <c r="Y40" s="17"/>
      <c r="Z40" s="17"/>
      <c r="AA40" s="17"/>
      <c r="AB40" s="18" t="s">
        <v>89</v>
      </c>
      <c r="AC40" s="18"/>
    </row>
    <row r="41" spans="1:29" s="1" customFormat="1" ht="13.5" customHeight="1">
      <c r="A41" s="19" t="s">
        <v>90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 t="s">
        <v>91</v>
      </c>
      <c r="M41" s="20"/>
      <c r="N41" s="20"/>
      <c r="O41" s="20" t="s">
        <v>36</v>
      </c>
      <c r="P41" s="20"/>
      <c r="Q41" s="20"/>
      <c r="R41" s="29" t="s">
        <v>36</v>
      </c>
      <c r="S41" s="29"/>
      <c r="T41" s="21">
        <f>54377329.65</f>
        <v>54377329.65</v>
      </c>
      <c r="U41" s="21"/>
      <c r="V41" s="21"/>
      <c r="W41" s="21">
        <f>24150441.08</f>
        <v>24150441.08</v>
      </c>
      <c r="X41" s="21"/>
      <c r="Y41" s="21"/>
      <c r="Z41" s="21"/>
      <c r="AA41" s="21"/>
      <c r="AB41" s="22">
        <f>30226888.57</f>
        <v>30226888.57</v>
      </c>
      <c r="AC41" s="22"/>
    </row>
    <row r="42" spans="1:29" s="1" customFormat="1" ht="13.5" customHeight="1">
      <c r="A42" s="30" t="s">
        <v>92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91</v>
      </c>
      <c r="M42" s="31"/>
      <c r="N42" s="31"/>
      <c r="O42" s="31" t="s">
        <v>93</v>
      </c>
      <c r="P42" s="31"/>
      <c r="Q42" s="31"/>
      <c r="R42" s="32" t="s">
        <v>94</v>
      </c>
      <c r="S42" s="32"/>
      <c r="T42" s="33">
        <f>1534572</f>
        <v>1534572</v>
      </c>
      <c r="U42" s="33"/>
      <c r="V42" s="33"/>
      <c r="W42" s="33">
        <f>877166.95</f>
        <v>877166.95</v>
      </c>
      <c r="X42" s="33"/>
      <c r="Y42" s="33"/>
      <c r="Z42" s="33"/>
      <c r="AA42" s="33"/>
      <c r="AB42" s="34">
        <f>657405.05</f>
        <v>657405.05</v>
      </c>
      <c r="AC42" s="34"/>
    </row>
    <row r="43" spans="1:29" s="1" customFormat="1" ht="13.5" customHeight="1">
      <c r="A43" s="30" t="s">
        <v>95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91</v>
      </c>
      <c r="M43" s="31"/>
      <c r="N43" s="31"/>
      <c r="O43" s="31" t="s">
        <v>96</v>
      </c>
      <c r="P43" s="31"/>
      <c r="Q43" s="31"/>
      <c r="R43" s="32" t="s">
        <v>97</v>
      </c>
      <c r="S43" s="32"/>
      <c r="T43" s="33">
        <f>463440.74</f>
        <v>463440.74</v>
      </c>
      <c r="U43" s="33"/>
      <c r="V43" s="33"/>
      <c r="W43" s="33">
        <f>245287.78</f>
        <v>245287.78</v>
      </c>
      <c r="X43" s="33"/>
      <c r="Y43" s="33"/>
      <c r="Z43" s="33"/>
      <c r="AA43" s="33"/>
      <c r="AB43" s="34">
        <f>218152.96</f>
        <v>218152.96</v>
      </c>
      <c r="AC43" s="34"/>
    </row>
    <row r="44" spans="1:29" s="1" customFormat="1" ht="13.5" customHeight="1">
      <c r="A44" s="30" t="s">
        <v>92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91</v>
      </c>
      <c r="M44" s="31"/>
      <c r="N44" s="31"/>
      <c r="O44" s="31" t="s">
        <v>98</v>
      </c>
      <c r="P44" s="31"/>
      <c r="Q44" s="31"/>
      <c r="R44" s="32" t="s">
        <v>94</v>
      </c>
      <c r="S44" s="32"/>
      <c r="T44" s="33">
        <f>8172728.18</f>
        <v>8172728.18</v>
      </c>
      <c r="U44" s="33"/>
      <c r="V44" s="33"/>
      <c r="W44" s="33">
        <f>4176761.97</f>
        <v>4176761.97</v>
      </c>
      <c r="X44" s="33"/>
      <c r="Y44" s="33"/>
      <c r="Z44" s="33"/>
      <c r="AA44" s="33"/>
      <c r="AB44" s="34">
        <f>3995966.21</f>
        <v>3995966.21</v>
      </c>
      <c r="AC44" s="34"/>
    </row>
    <row r="45" spans="1:29" s="1" customFormat="1" ht="13.5" customHeight="1">
      <c r="A45" s="30" t="s">
        <v>99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91</v>
      </c>
      <c r="M45" s="31"/>
      <c r="N45" s="31"/>
      <c r="O45" s="31" t="s">
        <v>98</v>
      </c>
      <c r="P45" s="31"/>
      <c r="Q45" s="31"/>
      <c r="R45" s="32" t="s">
        <v>100</v>
      </c>
      <c r="S45" s="32"/>
      <c r="T45" s="33">
        <f>5339.82</f>
        <v>5339.82</v>
      </c>
      <c r="U45" s="33"/>
      <c r="V45" s="33"/>
      <c r="W45" s="33">
        <f>5339.82</f>
        <v>5339.82</v>
      </c>
      <c r="X45" s="33"/>
      <c r="Y45" s="33"/>
      <c r="Z45" s="33"/>
      <c r="AA45" s="33"/>
      <c r="AB45" s="34">
        <f>0</f>
        <v>0</v>
      </c>
      <c r="AC45" s="34"/>
    </row>
    <row r="46" spans="1:29" s="1" customFormat="1" ht="13.5" customHeight="1">
      <c r="A46" s="30" t="s">
        <v>101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91</v>
      </c>
      <c r="M46" s="31"/>
      <c r="N46" s="31"/>
      <c r="O46" s="31" t="s">
        <v>102</v>
      </c>
      <c r="P46" s="31"/>
      <c r="Q46" s="31"/>
      <c r="R46" s="32" t="s">
        <v>103</v>
      </c>
      <c r="S46" s="32"/>
      <c r="T46" s="33">
        <f>1000</f>
        <v>1000</v>
      </c>
      <c r="U46" s="33"/>
      <c r="V46" s="33"/>
      <c r="W46" s="33">
        <f>1000</f>
        <v>1000</v>
      </c>
      <c r="X46" s="33"/>
      <c r="Y46" s="33"/>
      <c r="Z46" s="33"/>
      <c r="AA46" s="33"/>
      <c r="AB46" s="34">
        <f>0</f>
        <v>0</v>
      </c>
      <c r="AC46" s="34"/>
    </row>
    <row r="47" spans="1:29" s="1" customFormat="1" ht="13.5" customHeight="1">
      <c r="A47" s="30" t="s">
        <v>104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91</v>
      </c>
      <c r="M47" s="31"/>
      <c r="N47" s="31"/>
      <c r="O47" s="31" t="s">
        <v>102</v>
      </c>
      <c r="P47" s="31"/>
      <c r="Q47" s="31"/>
      <c r="R47" s="32" t="s">
        <v>105</v>
      </c>
      <c r="S47" s="32"/>
      <c r="T47" s="33">
        <f>103950</f>
        <v>103950</v>
      </c>
      <c r="U47" s="33"/>
      <c r="V47" s="33"/>
      <c r="W47" s="33">
        <f>102184.27</f>
        <v>102184.27</v>
      </c>
      <c r="X47" s="33"/>
      <c r="Y47" s="33"/>
      <c r="Z47" s="33"/>
      <c r="AA47" s="33"/>
      <c r="AB47" s="34">
        <f>1765.73</f>
        <v>1765.73</v>
      </c>
      <c r="AC47" s="34"/>
    </row>
    <row r="48" spans="1:29" s="1" customFormat="1" ht="13.5" customHeight="1">
      <c r="A48" s="30" t="s">
        <v>106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91</v>
      </c>
      <c r="M48" s="31"/>
      <c r="N48" s="31"/>
      <c r="O48" s="31" t="s">
        <v>102</v>
      </c>
      <c r="P48" s="31"/>
      <c r="Q48" s="31"/>
      <c r="R48" s="32" t="s">
        <v>107</v>
      </c>
      <c r="S48" s="32"/>
      <c r="T48" s="33">
        <f>50</f>
        <v>50</v>
      </c>
      <c r="U48" s="33"/>
      <c r="V48" s="33"/>
      <c r="W48" s="33">
        <f>50</f>
        <v>50</v>
      </c>
      <c r="X48" s="33"/>
      <c r="Y48" s="33"/>
      <c r="Z48" s="33"/>
      <c r="AA48" s="33"/>
      <c r="AB48" s="34">
        <f>0</f>
        <v>0</v>
      </c>
      <c r="AC48" s="34"/>
    </row>
    <row r="49" spans="1:29" s="1" customFormat="1" ht="13.5" customHeight="1">
      <c r="A49" s="30" t="s">
        <v>108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91</v>
      </c>
      <c r="M49" s="31"/>
      <c r="N49" s="31"/>
      <c r="O49" s="31" t="s">
        <v>102</v>
      </c>
      <c r="P49" s="31"/>
      <c r="Q49" s="31"/>
      <c r="R49" s="32" t="s">
        <v>109</v>
      </c>
      <c r="S49" s="32"/>
      <c r="T49" s="33">
        <f>77830.5</f>
        <v>77830.5</v>
      </c>
      <c r="U49" s="33"/>
      <c r="V49" s="33"/>
      <c r="W49" s="33">
        <f>77830.5</f>
        <v>77830.5</v>
      </c>
      <c r="X49" s="33"/>
      <c r="Y49" s="33"/>
      <c r="Z49" s="33"/>
      <c r="AA49" s="33"/>
      <c r="AB49" s="34">
        <f>0</f>
        <v>0</v>
      </c>
      <c r="AC49" s="34"/>
    </row>
    <row r="50" spans="1:29" s="1" customFormat="1" ht="13.5" customHeight="1">
      <c r="A50" s="30" t="s">
        <v>95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91</v>
      </c>
      <c r="M50" s="31"/>
      <c r="N50" s="31"/>
      <c r="O50" s="31" t="s">
        <v>110</v>
      </c>
      <c r="P50" s="31"/>
      <c r="Q50" s="31"/>
      <c r="R50" s="32" t="s">
        <v>97</v>
      </c>
      <c r="S50" s="32"/>
      <c r="T50" s="33">
        <f>2469776.54</f>
        <v>2469776.54</v>
      </c>
      <c r="U50" s="33"/>
      <c r="V50" s="33"/>
      <c r="W50" s="33">
        <f>1140736.51</f>
        <v>1140736.51</v>
      </c>
      <c r="X50" s="33"/>
      <c r="Y50" s="33"/>
      <c r="Z50" s="33"/>
      <c r="AA50" s="33"/>
      <c r="AB50" s="34">
        <f>1329040.03</f>
        <v>1329040.03</v>
      </c>
      <c r="AC50" s="34"/>
    </row>
    <row r="51" spans="1:29" s="1" customFormat="1" ht="24" customHeight="1">
      <c r="A51" s="30" t="s">
        <v>111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91</v>
      </c>
      <c r="M51" s="31"/>
      <c r="N51" s="31"/>
      <c r="O51" s="31" t="s">
        <v>112</v>
      </c>
      <c r="P51" s="31"/>
      <c r="Q51" s="31"/>
      <c r="R51" s="32" t="s">
        <v>113</v>
      </c>
      <c r="S51" s="32"/>
      <c r="T51" s="33">
        <f>221981</f>
        <v>221981</v>
      </c>
      <c r="U51" s="33"/>
      <c r="V51" s="33"/>
      <c r="W51" s="33">
        <f>110990.5</f>
        <v>110990.5</v>
      </c>
      <c r="X51" s="33"/>
      <c r="Y51" s="33"/>
      <c r="Z51" s="33"/>
      <c r="AA51" s="33"/>
      <c r="AB51" s="34">
        <f>110990.5</f>
        <v>110990.5</v>
      </c>
      <c r="AC51" s="34"/>
    </row>
    <row r="52" spans="1:29" s="1" customFormat="1" ht="13.5" customHeight="1">
      <c r="A52" s="30" t="s">
        <v>114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91</v>
      </c>
      <c r="M52" s="31"/>
      <c r="N52" s="31"/>
      <c r="O52" s="31" t="s">
        <v>115</v>
      </c>
      <c r="P52" s="31"/>
      <c r="Q52" s="31"/>
      <c r="R52" s="32" t="s">
        <v>91</v>
      </c>
      <c r="S52" s="32"/>
      <c r="T52" s="33">
        <f>10000</f>
        <v>10000</v>
      </c>
      <c r="U52" s="33"/>
      <c r="V52" s="33"/>
      <c r="W52" s="35" t="s">
        <v>39</v>
      </c>
      <c r="X52" s="35"/>
      <c r="Y52" s="35"/>
      <c r="Z52" s="35"/>
      <c r="AA52" s="35"/>
      <c r="AB52" s="34">
        <f>10000</f>
        <v>10000</v>
      </c>
      <c r="AC52" s="34"/>
    </row>
    <row r="53" spans="1:29" s="1" customFormat="1" ht="13.5" customHeight="1">
      <c r="A53" s="30" t="s">
        <v>92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91</v>
      </c>
      <c r="M53" s="31"/>
      <c r="N53" s="31"/>
      <c r="O53" s="31" t="s">
        <v>116</v>
      </c>
      <c r="P53" s="31"/>
      <c r="Q53" s="31"/>
      <c r="R53" s="32" t="s">
        <v>94</v>
      </c>
      <c r="S53" s="32"/>
      <c r="T53" s="33">
        <f>8463113.12</f>
        <v>8463113.12</v>
      </c>
      <c r="U53" s="33"/>
      <c r="V53" s="33"/>
      <c r="W53" s="33">
        <f>3859788.41</f>
        <v>3859788.41</v>
      </c>
      <c r="X53" s="33"/>
      <c r="Y53" s="33"/>
      <c r="Z53" s="33"/>
      <c r="AA53" s="33"/>
      <c r="AB53" s="34">
        <f>4603324.71</f>
        <v>4603324.71</v>
      </c>
      <c r="AC53" s="34"/>
    </row>
    <row r="54" spans="1:29" s="1" customFormat="1" ht="13.5" customHeight="1">
      <c r="A54" s="30" t="s">
        <v>99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91</v>
      </c>
      <c r="M54" s="31"/>
      <c r="N54" s="31"/>
      <c r="O54" s="31" t="s">
        <v>116</v>
      </c>
      <c r="P54" s="31"/>
      <c r="Q54" s="31"/>
      <c r="R54" s="32" t="s">
        <v>100</v>
      </c>
      <c r="S54" s="32"/>
      <c r="T54" s="33">
        <f>8751.6</f>
        <v>8751.6</v>
      </c>
      <c r="U54" s="33"/>
      <c r="V54" s="33"/>
      <c r="W54" s="33">
        <f>8751.6</f>
        <v>8751.6</v>
      </c>
      <c r="X54" s="33"/>
      <c r="Y54" s="33"/>
      <c r="Z54" s="33"/>
      <c r="AA54" s="33"/>
      <c r="AB54" s="34">
        <f>0</f>
        <v>0</v>
      </c>
      <c r="AC54" s="34"/>
    </row>
    <row r="55" spans="1:29" s="1" customFormat="1" ht="13.5" customHeight="1">
      <c r="A55" s="30" t="s">
        <v>104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91</v>
      </c>
      <c r="M55" s="31"/>
      <c r="N55" s="31"/>
      <c r="O55" s="31" t="s">
        <v>117</v>
      </c>
      <c r="P55" s="31"/>
      <c r="Q55" s="31"/>
      <c r="R55" s="32" t="s">
        <v>105</v>
      </c>
      <c r="S55" s="32"/>
      <c r="T55" s="33">
        <f>98927</f>
        <v>98927</v>
      </c>
      <c r="U55" s="33"/>
      <c r="V55" s="33"/>
      <c r="W55" s="33">
        <f>76239.2</f>
        <v>76239.2</v>
      </c>
      <c r="X55" s="33"/>
      <c r="Y55" s="33"/>
      <c r="Z55" s="33"/>
      <c r="AA55" s="33"/>
      <c r="AB55" s="34">
        <f>22687.8</f>
        <v>22687.8</v>
      </c>
      <c r="AC55" s="34"/>
    </row>
    <row r="56" spans="1:29" s="1" customFormat="1" ht="13.5" customHeight="1">
      <c r="A56" s="30" t="s">
        <v>106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91</v>
      </c>
      <c r="M56" s="31"/>
      <c r="N56" s="31"/>
      <c r="O56" s="31" t="s">
        <v>117</v>
      </c>
      <c r="P56" s="31"/>
      <c r="Q56" s="31"/>
      <c r="R56" s="32" t="s">
        <v>107</v>
      </c>
      <c r="S56" s="32"/>
      <c r="T56" s="33">
        <f>6073</f>
        <v>6073</v>
      </c>
      <c r="U56" s="33"/>
      <c r="V56" s="33"/>
      <c r="W56" s="33">
        <f>6073</f>
        <v>6073</v>
      </c>
      <c r="X56" s="33"/>
      <c r="Y56" s="33"/>
      <c r="Z56" s="33"/>
      <c r="AA56" s="33"/>
      <c r="AB56" s="34">
        <f>0</f>
        <v>0</v>
      </c>
      <c r="AC56" s="34"/>
    </row>
    <row r="57" spans="1:29" s="1" customFormat="1" ht="13.5" customHeight="1">
      <c r="A57" s="30" t="s">
        <v>95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91</v>
      </c>
      <c r="M57" s="31"/>
      <c r="N57" s="31"/>
      <c r="O57" s="31" t="s">
        <v>118</v>
      </c>
      <c r="P57" s="31"/>
      <c r="Q57" s="31"/>
      <c r="R57" s="32" t="s">
        <v>97</v>
      </c>
      <c r="S57" s="32"/>
      <c r="T57" s="33">
        <f>2558503.15</f>
        <v>2558503.15</v>
      </c>
      <c r="U57" s="33"/>
      <c r="V57" s="33"/>
      <c r="W57" s="33">
        <f>1045547.1</f>
        <v>1045547.1</v>
      </c>
      <c r="X57" s="33"/>
      <c r="Y57" s="33"/>
      <c r="Z57" s="33"/>
      <c r="AA57" s="33"/>
      <c r="AB57" s="34">
        <f>1512956.05</f>
        <v>1512956.05</v>
      </c>
      <c r="AC57" s="34"/>
    </row>
    <row r="58" spans="1:29" s="1" customFormat="1" ht="13.5" customHeight="1">
      <c r="A58" s="30" t="s">
        <v>106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91</v>
      </c>
      <c r="M58" s="31"/>
      <c r="N58" s="31"/>
      <c r="O58" s="31" t="s">
        <v>119</v>
      </c>
      <c r="P58" s="31"/>
      <c r="Q58" s="31"/>
      <c r="R58" s="32" t="s">
        <v>107</v>
      </c>
      <c r="S58" s="32"/>
      <c r="T58" s="33">
        <f>33000</f>
        <v>33000</v>
      </c>
      <c r="U58" s="33"/>
      <c r="V58" s="33"/>
      <c r="W58" s="33">
        <f>18900</f>
        <v>18900</v>
      </c>
      <c r="X58" s="33"/>
      <c r="Y58" s="33"/>
      <c r="Z58" s="33"/>
      <c r="AA58" s="33"/>
      <c r="AB58" s="34">
        <f>14100</f>
        <v>14100</v>
      </c>
      <c r="AC58" s="34"/>
    </row>
    <row r="59" spans="1:29" s="1" customFormat="1" ht="13.5" customHeight="1">
      <c r="A59" s="30" t="s">
        <v>120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91</v>
      </c>
      <c r="M59" s="31"/>
      <c r="N59" s="31"/>
      <c r="O59" s="31" t="s">
        <v>121</v>
      </c>
      <c r="P59" s="31"/>
      <c r="Q59" s="31"/>
      <c r="R59" s="32" t="s">
        <v>122</v>
      </c>
      <c r="S59" s="32"/>
      <c r="T59" s="33">
        <f>40000</f>
        <v>40000</v>
      </c>
      <c r="U59" s="33"/>
      <c r="V59" s="33"/>
      <c r="W59" s="33">
        <f>29000</f>
        <v>29000</v>
      </c>
      <c r="X59" s="33"/>
      <c r="Y59" s="33"/>
      <c r="Z59" s="33"/>
      <c r="AA59" s="33"/>
      <c r="AB59" s="34">
        <f>11000</f>
        <v>11000</v>
      </c>
      <c r="AC59" s="34"/>
    </row>
    <row r="60" spans="1:29" s="1" customFormat="1" ht="13.5" customHeight="1">
      <c r="A60" s="30" t="s">
        <v>123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91</v>
      </c>
      <c r="M60" s="31"/>
      <c r="N60" s="31"/>
      <c r="O60" s="31" t="s">
        <v>121</v>
      </c>
      <c r="P60" s="31"/>
      <c r="Q60" s="31"/>
      <c r="R60" s="32" t="s">
        <v>124</v>
      </c>
      <c r="S60" s="32"/>
      <c r="T60" s="33">
        <f>33300</f>
        <v>33300</v>
      </c>
      <c r="U60" s="33"/>
      <c r="V60" s="33"/>
      <c r="W60" s="33">
        <f>33300</f>
        <v>33300</v>
      </c>
      <c r="X60" s="33"/>
      <c r="Y60" s="33"/>
      <c r="Z60" s="33"/>
      <c r="AA60" s="33"/>
      <c r="AB60" s="34">
        <f>0</f>
        <v>0</v>
      </c>
      <c r="AC60" s="34"/>
    </row>
    <row r="61" spans="1:29" s="1" customFormat="1" ht="13.5" customHeight="1">
      <c r="A61" s="30" t="s">
        <v>125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91</v>
      </c>
      <c r="M61" s="31"/>
      <c r="N61" s="31"/>
      <c r="O61" s="31" t="s">
        <v>121</v>
      </c>
      <c r="P61" s="31"/>
      <c r="Q61" s="31"/>
      <c r="R61" s="32" t="s">
        <v>126</v>
      </c>
      <c r="S61" s="32"/>
      <c r="T61" s="33">
        <f>12498.08</f>
        <v>12498.08</v>
      </c>
      <c r="U61" s="33"/>
      <c r="V61" s="33"/>
      <c r="W61" s="33">
        <f>2248.94</f>
        <v>2248.94</v>
      </c>
      <c r="X61" s="33"/>
      <c r="Y61" s="33"/>
      <c r="Z61" s="33"/>
      <c r="AA61" s="33"/>
      <c r="AB61" s="34">
        <f>10249.14</f>
        <v>10249.14</v>
      </c>
      <c r="AC61" s="34"/>
    </row>
    <row r="62" spans="1:29" s="1" customFormat="1" ht="13.5" customHeight="1">
      <c r="A62" s="30" t="s">
        <v>127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91</v>
      </c>
      <c r="M62" s="31"/>
      <c r="N62" s="31"/>
      <c r="O62" s="31" t="s">
        <v>121</v>
      </c>
      <c r="P62" s="31"/>
      <c r="Q62" s="31"/>
      <c r="R62" s="32" t="s">
        <v>128</v>
      </c>
      <c r="S62" s="32"/>
      <c r="T62" s="33">
        <f>30000</f>
        <v>30000</v>
      </c>
      <c r="U62" s="33"/>
      <c r="V62" s="33"/>
      <c r="W62" s="33">
        <f>1750</f>
        <v>1750</v>
      </c>
      <c r="X62" s="33"/>
      <c r="Y62" s="33"/>
      <c r="Z62" s="33"/>
      <c r="AA62" s="33"/>
      <c r="AB62" s="34">
        <f>28250</f>
        <v>28250</v>
      </c>
      <c r="AC62" s="34"/>
    </row>
    <row r="63" spans="1:29" s="1" customFormat="1" ht="13.5" customHeight="1">
      <c r="A63" s="30" t="s">
        <v>106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91</v>
      </c>
      <c r="M63" s="31"/>
      <c r="N63" s="31"/>
      <c r="O63" s="31" t="s">
        <v>121</v>
      </c>
      <c r="P63" s="31"/>
      <c r="Q63" s="31"/>
      <c r="R63" s="32" t="s">
        <v>107</v>
      </c>
      <c r="S63" s="32"/>
      <c r="T63" s="33">
        <f>37250</f>
        <v>37250</v>
      </c>
      <c r="U63" s="33"/>
      <c r="V63" s="33"/>
      <c r="W63" s="33">
        <f>22000</f>
        <v>22000</v>
      </c>
      <c r="X63" s="33"/>
      <c r="Y63" s="33"/>
      <c r="Z63" s="33"/>
      <c r="AA63" s="33"/>
      <c r="AB63" s="34">
        <f>15250</f>
        <v>15250</v>
      </c>
      <c r="AC63" s="34"/>
    </row>
    <row r="64" spans="1:29" s="1" customFormat="1" ht="13.5" customHeight="1">
      <c r="A64" s="30" t="s">
        <v>129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91</v>
      </c>
      <c r="M64" s="31"/>
      <c r="N64" s="31"/>
      <c r="O64" s="31" t="s">
        <v>121</v>
      </c>
      <c r="P64" s="31"/>
      <c r="Q64" s="31"/>
      <c r="R64" s="32" t="s">
        <v>130</v>
      </c>
      <c r="S64" s="32"/>
      <c r="T64" s="33">
        <f>11819</f>
        <v>11819</v>
      </c>
      <c r="U64" s="33"/>
      <c r="V64" s="33"/>
      <c r="W64" s="33">
        <f>11819</f>
        <v>11819</v>
      </c>
      <c r="X64" s="33"/>
      <c r="Y64" s="33"/>
      <c r="Z64" s="33"/>
      <c r="AA64" s="33"/>
      <c r="AB64" s="34">
        <f>0</f>
        <v>0</v>
      </c>
      <c r="AC64" s="34"/>
    </row>
    <row r="65" spans="1:29" s="1" customFormat="1" ht="13.5" customHeight="1">
      <c r="A65" s="30" t="s">
        <v>131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91</v>
      </c>
      <c r="M65" s="31"/>
      <c r="N65" s="31"/>
      <c r="O65" s="31" t="s">
        <v>121</v>
      </c>
      <c r="P65" s="31"/>
      <c r="Q65" s="31"/>
      <c r="R65" s="32" t="s">
        <v>132</v>
      </c>
      <c r="S65" s="32"/>
      <c r="T65" s="33">
        <f>200000</f>
        <v>200000</v>
      </c>
      <c r="U65" s="33"/>
      <c r="V65" s="33"/>
      <c r="W65" s="33">
        <f>93179.98</f>
        <v>93179.98</v>
      </c>
      <c r="X65" s="33"/>
      <c r="Y65" s="33"/>
      <c r="Z65" s="33"/>
      <c r="AA65" s="33"/>
      <c r="AB65" s="34">
        <f>106820.02</f>
        <v>106820.02</v>
      </c>
      <c r="AC65" s="34"/>
    </row>
    <row r="66" spans="1:29" s="1" customFormat="1" ht="13.5" customHeight="1">
      <c r="A66" s="30" t="s">
        <v>133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91</v>
      </c>
      <c r="M66" s="31"/>
      <c r="N66" s="31"/>
      <c r="O66" s="31" t="s">
        <v>121</v>
      </c>
      <c r="P66" s="31"/>
      <c r="Q66" s="31"/>
      <c r="R66" s="32" t="s">
        <v>134</v>
      </c>
      <c r="S66" s="32"/>
      <c r="T66" s="33">
        <f>81436.86</f>
        <v>81436.86</v>
      </c>
      <c r="U66" s="33"/>
      <c r="V66" s="33"/>
      <c r="W66" s="33">
        <f>57698.1</f>
        <v>57698.1</v>
      </c>
      <c r="X66" s="33"/>
      <c r="Y66" s="33"/>
      <c r="Z66" s="33"/>
      <c r="AA66" s="33"/>
      <c r="AB66" s="34">
        <f>23738.76</f>
        <v>23738.76</v>
      </c>
      <c r="AC66" s="34"/>
    </row>
    <row r="67" spans="1:29" s="1" customFormat="1" ht="13.5" customHeight="1">
      <c r="A67" s="30" t="s">
        <v>125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91</v>
      </c>
      <c r="M67" s="31"/>
      <c r="N67" s="31"/>
      <c r="O67" s="31" t="s">
        <v>135</v>
      </c>
      <c r="P67" s="31"/>
      <c r="Q67" s="31"/>
      <c r="R67" s="32" t="s">
        <v>126</v>
      </c>
      <c r="S67" s="32"/>
      <c r="T67" s="33">
        <f>516739.85</f>
        <v>516739.85</v>
      </c>
      <c r="U67" s="33"/>
      <c r="V67" s="33"/>
      <c r="W67" s="33">
        <f>246617.74</f>
        <v>246617.74</v>
      </c>
      <c r="X67" s="33"/>
      <c r="Y67" s="33"/>
      <c r="Z67" s="33"/>
      <c r="AA67" s="33"/>
      <c r="AB67" s="34">
        <f>270122.11</f>
        <v>270122.11</v>
      </c>
      <c r="AC67" s="34"/>
    </row>
    <row r="68" spans="1:29" s="1" customFormat="1" ht="13.5" customHeight="1">
      <c r="A68" s="30" t="s">
        <v>106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91</v>
      </c>
      <c r="M68" s="31"/>
      <c r="N68" s="31"/>
      <c r="O68" s="31" t="s">
        <v>136</v>
      </c>
      <c r="P68" s="31"/>
      <c r="Q68" s="31"/>
      <c r="R68" s="32" t="s">
        <v>107</v>
      </c>
      <c r="S68" s="32"/>
      <c r="T68" s="33">
        <f>302216</f>
        <v>302216</v>
      </c>
      <c r="U68" s="33"/>
      <c r="V68" s="33"/>
      <c r="W68" s="33">
        <f>203676</f>
        <v>203676</v>
      </c>
      <c r="X68" s="33"/>
      <c r="Y68" s="33"/>
      <c r="Z68" s="33"/>
      <c r="AA68" s="33"/>
      <c r="AB68" s="34">
        <f>98540</f>
        <v>98540</v>
      </c>
      <c r="AC68" s="34"/>
    </row>
    <row r="69" spans="1:29" s="1" customFormat="1" ht="13.5" customHeight="1">
      <c r="A69" s="30" t="s">
        <v>120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91</v>
      </c>
      <c r="M69" s="31"/>
      <c r="N69" s="31"/>
      <c r="O69" s="31" t="s">
        <v>137</v>
      </c>
      <c r="P69" s="31"/>
      <c r="Q69" s="31"/>
      <c r="R69" s="32" t="s">
        <v>122</v>
      </c>
      <c r="S69" s="32"/>
      <c r="T69" s="33">
        <f>122919.85</f>
        <v>122919.85</v>
      </c>
      <c r="U69" s="33"/>
      <c r="V69" s="33"/>
      <c r="W69" s="33">
        <f>57603.25</f>
        <v>57603.25</v>
      </c>
      <c r="X69" s="33"/>
      <c r="Y69" s="33"/>
      <c r="Z69" s="33"/>
      <c r="AA69" s="33"/>
      <c r="AB69" s="34">
        <f>65316.6</f>
        <v>65316.6</v>
      </c>
      <c r="AC69" s="34"/>
    </row>
    <row r="70" spans="1:29" s="1" customFormat="1" ht="13.5" customHeight="1">
      <c r="A70" s="30" t="s">
        <v>125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91</v>
      </c>
      <c r="M70" s="31"/>
      <c r="N70" s="31"/>
      <c r="O70" s="31" t="s">
        <v>137</v>
      </c>
      <c r="P70" s="31"/>
      <c r="Q70" s="31"/>
      <c r="R70" s="32" t="s">
        <v>126</v>
      </c>
      <c r="S70" s="32"/>
      <c r="T70" s="33">
        <f>9601.92</f>
        <v>9601.92</v>
      </c>
      <c r="U70" s="33"/>
      <c r="V70" s="33"/>
      <c r="W70" s="33">
        <f>3600.7</f>
        <v>3600.7</v>
      </c>
      <c r="X70" s="33"/>
      <c r="Y70" s="33"/>
      <c r="Z70" s="33"/>
      <c r="AA70" s="33"/>
      <c r="AB70" s="34">
        <f>6001.22</f>
        <v>6001.22</v>
      </c>
      <c r="AC70" s="34"/>
    </row>
    <row r="71" spans="1:29" s="1" customFormat="1" ht="13.5" customHeight="1">
      <c r="A71" s="30" t="s">
        <v>106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91</v>
      </c>
      <c r="M71" s="31"/>
      <c r="N71" s="31"/>
      <c r="O71" s="31" t="s">
        <v>137</v>
      </c>
      <c r="P71" s="31"/>
      <c r="Q71" s="31"/>
      <c r="R71" s="32" t="s">
        <v>107</v>
      </c>
      <c r="S71" s="32"/>
      <c r="T71" s="33">
        <f>21000</f>
        <v>21000</v>
      </c>
      <c r="U71" s="33"/>
      <c r="V71" s="33"/>
      <c r="W71" s="33">
        <f>21000</f>
        <v>21000</v>
      </c>
      <c r="X71" s="33"/>
      <c r="Y71" s="33"/>
      <c r="Z71" s="33"/>
      <c r="AA71" s="33"/>
      <c r="AB71" s="34">
        <f>0</f>
        <v>0</v>
      </c>
      <c r="AC71" s="34"/>
    </row>
    <row r="72" spans="1:29" s="1" customFormat="1" ht="13.5" customHeight="1">
      <c r="A72" s="30" t="s">
        <v>138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91</v>
      </c>
      <c r="M72" s="31"/>
      <c r="N72" s="31"/>
      <c r="O72" s="31" t="s">
        <v>137</v>
      </c>
      <c r="P72" s="31"/>
      <c r="Q72" s="31"/>
      <c r="R72" s="32" t="s">
        <v>139</v>
      </c>
      <c r="S72" s="32"/>
      <c r="T72" s="33">
        <f>9000</f>
        <v>9000</v>
      </c>
      <c r="U72" s="33"/>
      <c r="V72" s="33"/>
      <c r="W72" s="35" t="s">
        <v>39</v>
      </c>
      <c r="X72" s="35"/>
      <c r="Y72" s="35"/>
      <c r="Z72" s="35"/>
      <c r="AA72" s="35"/>
      <c r="AB72" s="34">
        <f>9000</f>
        <v>9000</v>
      </c>
      <c r="AC72" s="34"/>
    </row>
    <row r="73" spans="1:29" s="1" customFormat="1" ht="24" customHeight="1">
      <c r="A73" s="30" t="s">
        <v>140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91</v>
      </c>
      <c r="M73" s="31"/>
      <c r="N73" s="31"/>
      <c r="O73" s="31" t="s">
        <v>137</v>
      </c>
      <c r="P73" s="31"/>
      <c r="Q73" s="31"/>
      <c r="R73" s="32" t="s">
        <v>141</v>
      </c>
      <c r="S73" s="32"/>
      <c r="T73" s="33">
        <f>15000</f>
        <v>15000</v>
      </c>
      <c r="U73" s="33"/>
      <c r="V73" s="33"/>
      <c r="W73" s="35" t="s">
        <v>39</v>
      </c>
      <c r="X73" s="35"/>
      <c r="Y73" s="35"/>
      <c r="Z73" s="35"/>
      <c r="AA73" s="35"/>
      <c r="AB73" s="34">
        <f>15000</f>
        <v>15000</v>
      </c>
      <c r="AC73" s="34"/>
    </row>
    <row r="74" spans="1:29" s="1" customFormat="1" ht="13.5" customHeight="1">
      <c r="A74" s="30" t="s">
        <v>142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91</v>
      </c>
      <c r="M74" s="31"/>
      <c r="N74" s="31"/>
      <c r="O74" s="31" t="s">
        <v>143</v>
      </c>
      <c r="P74" s="31"/>
      <c r="Q74" s="31"/>
      <c r="R74" s="32" t="s">
        <v>144</v>
      </c>
      <c r="S74" s="32"/>
      <c r="T74" s="33">
        <f>20000</f>
        <v>20000</v>
      </c>
      <c r="U74" s="33"/>
      <c r="V74" s="33"/>
      <c r="W74" s="33">
        <f>13326.15</f>
        <v>13326.15</v>
      </c>
      <c r="X74" s="33"/>
      <c r="Y74" s="33"/>
      <c r="Z74" s="33"/>
      <c r="AA74" s="33"/>
      <c r="AB74" s="34">
        <f>6673.85</f>
        <v>6673.85</v>
      </c>
      <c r="AC74" s="34"/>
    </row>
    <row r="75" spans="1:29" s="1" customFormat="1" ht="13.5" customHeight="1">
      <c r="A75" s="30" t="s">
        <v>106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91</v>
      </c>
      <c r="M75" s="31"/>
      <c r="N75" s="31"/>
      <c r="O75" s="31" t="s">
        <v>145</v>
      </c>
      <c r="P75" s="31"/>
      <c r="Q75" s="31"/>
      <c r="R75" s="32" t="s">
        <v>107</v>
      </c>
      <c r="S75" s="32"/>
      <c r="T75" s="33">
        <f>30919.45</f>
        <v>30919.45</v>
      </c>
      <c r="U75" s="33"/>
      <c r="V75" s="33"/>
      <c r="W75" s="33">
        <f>6436.15</f>
        <v>6436.15</v>
      </c>
      <c r="X75" s="33"/>
      <c r="Y75" s="33"/>
      <c r="Z75" s="33"/>
      <c r="AA75" s="33"/>
      <c r="AB75" s="34">
        <f>24483.3</f>
        <v>24483.3</v>
      </c>
      <c r="AC75" s="34"/>
    </row>
    <row r="76" spans="1:29" s="1" customFormat="1" ht="13.5" customHeight="1">
      <c r="A76" s="30" t="s">
        <v>106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91</v>
      </c>
      <c r="M76" s="31"/>
      <c r="N76" s="31"/>
      <c r="O76" s="31" t="s">
        <v>146</v>
      </c>
      <c r="P76" s="31"/>
      <c r="Q76" s="31"/>
      <c r="R76" s="32" t="s">
        <v>107</v>
      </c>
      <c r="S76" s="32"/>
      <c r="T76" s="33">
        <f>14700</f>
        <v>14700</v>
      </c>
      <c r="U76" s="33"/>
      <c r="V76" s="33"/>
      <c r="W76" s="33">
        <f>14700</f>
        <v>14700</v>
      </c>
      <c r="X76" s="33"/>
      <c r="Y76" s="33"/>
      <c r="Z76" s="33"/>
      <c r="AA76" s="33"/>
      <c r="AB76" s="34">
        <f>0</f>
        <v>0</v>
      </c>
      <c r="AC76" s="34"/>
    </row>
    <row r="77" spans="1:29" s="1" customFormat="1" ht="13.5" customHeight="1">
      <c r="A77" s="30" t="s">
        <v>147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91</v>
      </c>
      <c r="M77" s="31"/>
      <c r="N77" s="31"/>
      <c r="O77" s="31" t="s">
        <v>148</v>
      </c>
      <c r="P77" s="31"/>
      <c r="Q77" s="31"/>
      <c r="R77" s="32" t="s">
        <v>149</v>
      </c>
      <c r="S77" s="32"/>
      <c r="T77" s="33">
        <f>9000</f>
        <v>9000</v>
      </c>
      <c r="U77" s="33"/>
      <c r="V77" s="33"/>
      <c r="W77" s="33">
        <f>9000</f>
        <v>9000</v>
      </c>
      <c r="X77" s="33"/>
      <c r="Y77" s="33"/>
      <c r="Z77" s="33"/>
      <c r="AA77" s="33"/>
      <c r="AB77" s="34">
        <f>0</f>
        <v>0</v>
      </c>
      <c r="AC77" s="34"/>
    </row>
    <row r="78" spans="1:29" s="1" customFormat="1" ht="13.5" customHeight="1">
      <c r="A78" s="30" t="s">
        <v>92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91</v>
      </c>
      <c r="M78" s="31"/>
      <c r="N78" s="31"/>
      <c r="O78" s="31" t="s">
        <v>150</v>
      </c>
      <c r="P78" s="31"/>
      <c r="Q78" s="31"/>
      <c r="R78" s="32" t="s">
        <v>94</v>
      </c>
      <c r="S78" s="32"/>
      <c r="T78" s="33">
        <f>453686.64</f>
        <v>453686.64</v>
      </c>
      <c r="U78" s="33"/>
      <c r="V78" s="33"/>
      <c r="W78" s="33">
        <f>226926.95</f>
        <v>226926.95</v>
      </c>
      <c r="X78" s="33"/>
      <c r="Y78" s="33"/>
      <c r="Z78" s="33"/>
      <c r="AA78" s="33"/>
      <c r="AB78" s="34">
        <f>226759.69</f>
        <v>226759.69</v>
      </c>
      <c r="AC78" s="34"/>
    </row>
    <row r="79" spans="1:29" s="1" customFormat="1" ht="13.5" customHeight="1">
      <c r="A79" s="30" t="s">
        <v>106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91</v>
      </c>
      <c r="M79" s="31"/>
      <c r="N79" s="31"/>
      <c r="O79" s="31" t="s">
        <v>151</v>
      </c>
      <c r="P79" s="31"/>
      <c r="Q79" s="31"/>
      <c r="R79" s="32" t="s">
        <v>107</v>
      </c>
      <c r="S79" s="32"/>
      <c r="T79" s="33">
        <f>4000</f>
        <v>4000</v>
      </c>
      <c r="U79" s="33"/>
      <c r="V79" s="33"/>
      <c r="W79" s="33">
        <f>2081</f>
        <v>2081</v>
      </c>
      <c r="X79" s="33"/>
      <c r="Y79" s="33"/>
      <c r="Z79" s="33"/>
      <c r="AA79" s="33"/>
      <c r="AB79" s="34">
        <f>1919</f>
        <v>1919</v>
      </c>
      <c r="AC79" s="34"/>
    </row>
    <row r="80" spans="1:29" s="1" customFormat="1" ht="13.5" customHeight="1">
      <c r="A80" s="30" t="s">
        <v>95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91</v>
      </c>
      <c r="M80" s="31"/>
      <c r="N80" s="31"/>
      <c r="O80" s="31" t="s">
        <v>152</v>
      </c>
      <c r="P80" s="31"/>
      <c r="Q80" s="31"/>
      <c r="R80" s="32" t="s">
        <v>97</v>
      </c>
      <c r="S80" s="32"/>
      <c r="T80" s="33">
        <f>137013.36</f>
        <v>137013.36</v>
      </c>
      <c r="U80" s="33"/>
      <c r="V80" s="33"/>
      <c r="W80" s="33">
        <f>68342.05</f>
        <v>68342.05</v>
      </c>
      <c r="X80" s="33"/>
      <c r="Y80" s="33"/>
      <c r="Z80" s="33"/>
      <c r="AA80" s="33"/>
      <c r="AB80" s="34">
        <f>68671.31</f>
        <v>68671.31</v>
      </c>
      <c r="AC80" s="34"/>
    </row>
    <row r="81" spans="1:29" s="1" customFormat="1" ht="13.5" customHeight="1">
      <c r="A81" s="30" t="s">
        <v>92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91</v>
      </c>
      <c r="M81" s="31"/>
      <c r="N81" s="31"/>
      <c r="O81" s="31" t="s">
        <v>153</v>
      </c>
      <c r="P81" s="31"/>
      <c r="Q81" s="31"/>
      <c r="R81" s="32" t="s">
        <v>94</v>
      </c>
      <c r="S81" s="32"/>
      <c r="T81" s="33">
        <f>57926.82</f>
        <v>57926.82</v>
      </c>
      <c r="U81" s="33"/>
      <c r="V81" s="33"/>
      <c r="W81" s="33">
        <f>28963.42</f>
        <v>28963.42</v>
      </c>
      <c r="X81" s="33"/>
      <c r="Y81" s="33"/>
      <c r="Z81" s="33"/>
      <c r="AA81" s="33"/>
      <c r="AB81" s="34">
        <f>28963.4</f>
        <v>28963.4</v>
      </c>
      <c r="AC81" s="34"/>
    </row>
    <row r="82" spans="1:29" s="1" customFormat="1" ht="13.5" customHeight="1">
      <c r="A82" s="30" t="s">
        <v>95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91</v>
      </c>
      <c r="M82" s="31"/>
      <c r="N82" s="31"/>
      <c r="O82" s="31" t="s">
        <v>154</v>
      </c>
      <c r="P82" s="31"/>
      <c r="Q82" s="31"/>
      <c r="R82" s="32" t="s">
        <v>97</v>
      </c>
      <c r="S82" s="32"/>
      <c r="T82" s="33">
        <f>17493.9</f>
        <v>17493.9</v>
      </c>
      <c r="U82" s="33"/>
      <c r="V82" s="33"/>
      <c r="W82" s="33">
        <f>8746.94</f>
        <v>8746.94</v>
      </c>
      <c r="X82" s="33"/>
      <c r="Y82" s="33"/>
      <c r="Z82" s="33"/>
      <c r="AA82" s="33"/>
      <c r="AB82" s="34">
        <f>8746.96</f>
        <v>8746.96</v>
      </c>
      <c r="AC82" s="34"/>
    </row>
    <row r="83" spans="1:29" s="1" customFormat="1" ht="13.5" customHeight="1">
      <c r="A83" s="30" t="s">
        <v>92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91</v>
      </c>
      <c r="M83" s="31"/>
      <c r="N83" s="31"/>
      <c r="O83" s="31" t="s">
        <v>155</v>
      </c>
      <c r="P83" s="31"/>
      <c r="Q83" s="31"/>
      <c r="R83" s="32" t="s">
        <v>94</v>
      </c>
      <c r="S83" s="32"/>
      <c r="T83" s="33">
        <f>43410.21</f>
        <v>43410.21</v>
      </c>
      <c r="U83" s="33"/>
      <c r="V83" s="33"/>
      <c r="W83" s="33">
        <f>11989.25</f>
        <v>11989.25</v>
      </c>
      <c r="X83" s="33"/>
      <c r="Y83" s="33"/>
      <c r="Z83" s="33"/>
      <c r="AA83" s="33"/>
      <c r="AB83" s="34">
        <f>31420.96</f>
        <v>31420.96</v>
      </c>
      <c r="AC83" s="34"/>
    </row>
    <row r="84" spans="1:29" s="1" customFormat="1" ht="13.5" customHeight="1">
      <c r="A84" s="30" t="s">
        <v>95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91</v>
      </c>
      <c r="M84" s="31"/>
      <c r="N84" s="31"/>
      <c r="O84" s="31" t="s">
        <v>156</v>
      </c>
      <c r="P84" s="31"/>
      <c r="Q84" s="31"/>
      <c r="R84" s="32" t="s">
        <v>97</v>
      </c>
      <c r="S84" s="32"/>
      <c r="T84" s="33">
        <f>13109.85</f>
        <v>13109.85</v>
      </c>
      <c r="U84" s="33"/>
      <c r="V84" s="33"/>
      <c r="W84" s="33">
        <f>3620.75</f>
        <v>3620.75</v>
      </c>
      <c r="X84" s="33"/>
      <c r="Y84" s="33"/>
      <c r="Z84" s="33"/>
      <c r="AA84" s="33"/>
      <c r="AB84" s="34">
        <f>9489.1</f>
        <v>9489.1</v>
      </c>
      <c r="AC84" s="34"/>
    </row>
    <row r="85" spans="1:29" s="1" customFormat="1" ht="13.5" customHeight="1">
      <c r="A85" s="30" t="s">
        <v>125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91</v>
      </c>
      <c r="M85" s="31"/>
      <c r="N85" s="31"/>
      <c r="O85" s="31" t="s">
        <v>157</v>
      </c>
      <c r="P85" s="31"/>
      <c r="Q85" s="31"/>
      <c r="R85" s="32" t="s">
        <v>126</v>
      </c>
      <c r="S85" s="32"/>
      <c r="T85" s="33">
        <f>11854.26</f>
        <v>11854.26</v>
      </c>
      <c r="U85" s="33"/>
      <c r="V85" s="33"/>
      <c r="W85" s="33">
        <f>8920.86</f>
        <v>8920.86</v>
      </c>
      <c r="X85" s="33"/>
      <c r="Y85" s="33"/>
      <c r="Z85" s="33"/>
      <c r="AA85" s="33"/>
      <c r="AB85" s="34">
        <f>2933.4</f>
        <v>2933.4</v>
      </c>
      <c r="AC85" s="34"/>
    </row>
    <row r="86" spans="1:29" s="1" customFormat="1" ht="13.5" customHeight="1">
      <c r="A86" s="30" t="s">
        <v>127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91</v>
      </c>
      <c r="M86" s="31"/>
      <c r="N86" s="31"/>
      <c r="O86" s="31" t="s">
        <v>157</v>
      </c>
      <c r="P86" s="31"/>
      <c r="Q86" s="31"/>
      <c r="R86" s="32" t="s">
        <v>128</v>
      </c>
      <c r="S86" s="32"/>
      <c r="T86" s="33">
        <f>150000</f>
        <v>150000</v>
      </c>
      <c r="U86" s="33"/>
      <c r="V86" s="33"/>
      <c r="W86" s="33">
        <f>150000</f>
        <v>150000</v>
      </c>
      <c r="X86" s="33"/>
      <c r="Y86" s="33"/>
      <c r="Z86" s="33"/>
      <c r="AA86" s="33"/>
      <c r="AB86" s="34">
        <f>0</f>
        <v>0</v>
      </c>
      <c r="AC86" s="34"/>
    </row>
    <row r="87" spans="1:29" s="1" customFormat="1" ht="24" customHeight="1">
      <c r="A87" s="30" t="s">
        <v>140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91</v>
      </c>
      <c r="M87" s="31"/>
      <c r="N87" s="31"/>
      <c r="O87" s="31" t="s">
        <v>157</v>
      </c>
      <c r="P87" s="31"/>
      <c r="Q87" s="31"/>
      <c r="R87" s="32" t="s">
        <v>141</v>
      </c>
      <c r="S87" s="32"/>
      <c r="T87" s="33">
        <f>10000</f>
        <v>10000</v>
      </c>
      <c r="U87" s="33"/>
      <c r="V87" s="33"/>
      <c r="W87" s="33">
        <f>10000</f>
        <v>10000</v>
      </c>
      <c r="X87" s="33"/>
      <c r="Y87" s="33"/>
      <c r="Z87" s="33"/>
      <c r="AA87" s="33"/>
      <c r="AB87" s="34">
        <f>0</f>
        <v>0</v>
      </c>
      <c r="AC87" s="34"/>
    </row>
    <row r="88" spans="1:29" s="1" customFormat="1" ht="24" customHeight="1">
      <c r="A88" s="30" t="s">
        <v>140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91</v>
      </c>
      <c r="M88" s="31"/>
      <c r="N88" s="31"/>
      <c r="O88" s="31" t="s">
        <v>158</v>
      </c>
      <c r="P88" s="31"/>
      <c r="Q88" s="31"/>
      <c r="R88" s="32" t="s">
        <v>141</v>
      </c>
      <c r="S88" s="32"/>
      <c r="T88" s="33">
        <f>8000</f>
        <v>8000</v>
      </c>
      <c r="U88" s="33"/>
      <c r="V88" s="33"/>
      <c r="W88" s="35" t="s">
        <v>39</v>
      </c>
      <c r="X88" s="35"/>
      <c r="Y88" s="35"/>
      <c r="Z88" s="35"/>
      <c r="AA88" s="35"/>
      <c r="AB88" s="34">
        <f>8000</f>
        <v>8000</v>
      </c>
      <c r="AC88" s="34"/>
    </row>
    <row r="89" spans="1:29" s="1" customFormat="1" ht="24" customHeight="1">
      <c r="A89" s="30" t="s">
        <v>140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91</v>
      </c>
      <c r="M89" s="31"/>
      <c r="N89" s="31"/>
      <c r="O89" s="31" t="s">
        <v>159</v>
      </c>
      <c r="P89" s="31"/>
      <c r="Q89" s="31"/>
      <c r="R89" s="32" t="s">
        <v>141</v>
      </c>
      <c r="S89" s="32"/>
      <c r="T89" s="33">
        <f>8000</f>
        <v>8000</v>
      </c>
      <c r="U89" s="33"/>
      <c r="V89" s="33"/>
      <c r="W89" s="35" t="s">
        <v>39</v>
      </c>
      <c r="X89" s="35"/>
      <c r="Y89" s="35"/>
      <c r="Z89" s="35"/>
      <c r="AA89" s="35"/>
      <c r="AB89" s="34">
        <f>8000</f>
        <v>8000</v>
      </c>
      <c r="AC89" s="34"/>
    </row>
    <row r="90" spans="1:29" s="1" customFormat="1" ht="13.5" customHeight="1">
      <c r="A90" s="30" t="s">
        <v>106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91</v>
      </c>
      <c r="M90" s="31"/>
      <c r="N90" s="31"/>
      <c r="O90" s="31" t="s">
        <v>160</v>
      </c>
      <c r="P90" s="31"/>
      <c r="Q90" s="31"/>
      <c r="R90" s="32" t="s">
        <v>107</v>
      </c>
      <c r="S90" s="32"/>
      <c r="T90" s="33">
        <f>16790</f>
        <v>16790</v>
      </c>
      <c r="U90" s="33"/>
      <c r="V90" s="33"/>
      <c r="W90" s="33">
        <f>11040</f>
        <v>11040</v>
      </c>
      <c r="X90" s="33"/>
      <c r="Y90" s="33"/>
      <c r="Z90" s="33"/>
      <c r="AA90" s="33"/>
      <c r="AB90" s="34">
        <f>5750</f>
        <v>5750</v>
      </c>
      <c r="AC90" s="34"/>
    </row>
    <row r="91" spans="1:29" s="1" customFormat="1" ht="13.5" customHeight="1">
      <c r="A91" s="30" t="s">
        <v>138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91</v>
      </c>
      <c r="M91" s="31"/>
      <c r="N91" s="31"/>
      <c r="O91" s="31" t="s">
        <v>161</v>
      </c>
      <c r="P91" s="31"/>
      <c r="Q91" s="31"/>
      <c r="R91" s="32" t="s">
        <v>139</v>
      </c>
      <c r="S91" s="32"/>
      <c r="T91" s="33">
        <f>960</f>
        <v>960</v>
      </c>
      <c r="U91" s="33"/>
      <c r="V91" s="33"/>
      <c r="W91" s="33">
        <f>960</f>
        <v>960</v>
      </c>
      <c r="X91" s="33"/>
      <c r="Y91" s="33"/>
      <c r="Z91" s="33"/>
      <c r="AA91" s="33"/>
      <c r="AB91" s="34">
        <f>0</f>
        <v>0</v>
      </c>
      <c r="AC91" s="34"/>
    </row>
    <row r="92" spans="1:29" s="1" customFormat="1" ht="13.5" customHeight="1">
      <c r="A92" s="30" t="s">
        <v>106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91</v>
      </c>
      <c r="M92" s="31"/>
      <c r="N92" s="31"/>
      <c r="O92" s="31" t="s">
        <v>162</v>
      </c>
      <c r="P92" s="31"/>
      <c r="Q92" s="31"/>
      <c r="R92" s="32" t="s">
        <v>107</v>
      </c>
      <c r="S92" s="32"/>
      <c r="T92" s="33">
        <f>4197.5</f>
        <v>4197.5</v>
      </c>
      <c r="U92" s="33"/>
      <c r="V92" s="33"/>
      <c r="W92" s="33">
        <f>2760</f>
        <v>2760</v>
      </c>
      <c r="X92" s="33"/>
      <c r="Y92" s="33"/>
      <c r="Z92" s="33"/>
      <c r="AA92" s="33"/>
      <c r="AB92" s="34">
        <f>1437.5</f>
        <v>1437.5</v>
      </c>
      <c r="AC92" s="34"/>
    </row>
    <row r="93" spans="1:29" s="1" customFormat="1" ht="13.5" customHeight="1">
      <c r="A93" s="30" t="s">
        <v>138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91</v>
      </c>
      <c r="M93" s="31"/>
      <c r="N93" s="31"/>
      <c r="O93" s="31" t="s">
        <v>163</v>
      </c>
      <c r="P93" s="31"/>
      <c r="Q93" s="31"/>
      <c r="R93" s="32" t="s">
        <v>139</v>
      </c>
      <c r="S93" s="32"/>
      <c r="T93" s="33">
        <f>240</f>
        <v>240</v>
      </c>
      <c r="U93" s="33"/>
      <c r="V93" s="33"/>
      <c r="W93" s="33">
        <f>240</f>
        <v>240</v>
      </c>
      <c r="X93" s="33"/>
      <c r="Y93" s="33"/>
      <c r="Z93" s="33"/>
      <c r="AA93" s="33"/>
      <c r="AB93" s="34">
        <f>0</f>
        <v>0</v>
      </c>
      <c r="AC93" s="34"/>
    </row>
    <row r="94" spans="1:29" s="1" customFormat="1" ht="13.5" customHeight="1">
      <c r="A94" s="30" t="s">
        <v>92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91</v>
      </c>
      <c r="M94" s="31"/>
      <c r="N94" s="31"/>
      <c r="O94" s="31" t="s">
        <v>164</v>
      </c>
      <c r="P94" s="31"/>
      <c r="Q94" s="31"/>
      <c r="R94" s="32" t="s">
        <v>94</v>
      </c>
      <c r="S94" s="32"/>
      <c r="T94" s="33">
        <f>179100.3</f>
        <v>179100.3</v>
      </c>
      <c r="U94" s="33"/>
      <c r="V94" s="33"/>
      <c r="W94" s="33">
        <f>163397.73</f>
        <v>163397.73</v>
      </c>
      <c r="X94" s="33"/>
      <c r="Y94" s="33"/>
      <c r="Z94" s="33"/>
      <c r="AA94" s="33"/>
      <c r="AB94" s="34">
        <f>15702.57</f>
        <v>15702.57</v>
      </c>
      <c r="AC94" s="34"/>
    </row>
    <row r="95" spans="1:29" s="1" customFormat="1" ht="13.5" customHeight="1">
      <c r="A95" s="30" t="s">
        <v>99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91</v>
      </c>
      <c r="M95" s="31"/>
      <c r="N95" s="31"/>
      <c r="O95" s="31" t="s">
        <v>164</v>
      </c>
      <c r="P95" s="31"/>
      <c r="Q95" s="31"/>
      <c r="R95" s="32" t="s">
        <v>100</v>
      </c>
      <c r="S95" s="32"/>
      <c r="T95" s="33">
        <f>1094.66</f>
        <v>1094.66</v>
      </c>
      <c r="U95" s="33"/>
      <c r="V95" s="33"/>
      <c r="W95" s="33">
        <f>1094.66</f>
        <v>1094.66</v>
      </c>
      <c r="X95" s="33"/>
      <c r="Y95" s="33"/>
      <c r="Z95" s="33"/>
      <c r="AA95" s="33"/>
      <c r="AB95" s="34">
        <f>0</f>
        <v>0</v>
      </c>
      <c r="AC95" s="34"/>
    </row>
    <row r="96" spans="1:29" s="1" customFormat="1" ht="13.5" customHeight="1">
      <c r="A96" s="30" t="s">
        <v>95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91</v>
      </c>
      <c r="M96" s="31"/>
      <c r="N96" s="31"/>
      <c r="O96" s="31" t="s">
        <v>165</v>
      </c>
      <c r="P96" s="31"/>
      <c r="Q96" s="31"/>
      <c r="R96" s="32" t="s">
        <v>97</v>
      </c>
      <c r="S96" s="32"/>
      <c r="T96" s="33">
        <f>54088.29</f>
        <v>54088.29</v>
      </c>
      <c r="U96" s="33"/>
      <c r="V96" s="33"/>
      <c r="W96" s="33">
        <f>47551.91</f>
        <v>47551.91</v>
      </c>
      <c r="X96" s="33"/>
      <c r="Y96" s="33"/>
      <c r="Z96" s="33"/>
      <c r="AA96" s="33"/>
      <c r="AB96" s="34">
        <f>6536.38</f>
        <v>6536.38</v>
      </c>
      <c r="AC96" s="34"/>
    </row>
    <row r="97" spans="1:29" s="1" customFormat="1" ht="13.5" customHeight="1">
      <c r="A97" s="30" t="s">
        <v>92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91</v>
      </c>
      <c r="M97" s="31"/>
      <c r="N97" s="31"/>
      <c r="O97" s="31" t="s">
        <v>166</v>
      </c>
      <c r="P97" s="31"/>
      <c r="Q97" s="31"/>
      <c r="R97" s="32" t="s">
        <v>94</v>
      </c>
      <c r="S97" s="32"/>
      <c r="T97" s="33">
        <f>37768.59</f>
        <v>37768.59</v>
      </c>
      <c r="U97" s="33"/>
      <c r="V97" s="33"/>
      <c r="W97" s="33">
        <f>37768.59</f>
        <v>37768.59</v>
      </c>
      <c r="X97" s="33"/>
      <c r="Y97" s="33"/>
      <c r="Z97" s="33"/>
      <c r="AA97" s="33"/>
      <c r="AB97" s="34">
        <f>0</f>
        <v>0</v>
      </c>
      <c r="AC97" s="34"/>
    </row>
    <row r="98" spans="1:29" s="1" customFormat="1" ht="13.5" customHeight="1">
      <c r="A98" s="30" t="s">
        <v>95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91</v>
      </c>
      <c r="M98" s="31"/>
      <c r="N98" s="31"/>
      <c r="O98" s="31" t="s">
        <v>167</v>
      </c>
      <c r="P98" s="31"/>
      <c r="Q98" s="31"/>
      <c r="R98" s="32" t="s">
        <v>97</v>
      </c>
      <c r="S98" s="32"/>
      <c r="T98" s="33">
        <f>11406.11</f>
        <v>11406.11</v>
      </c>
      <c r="U98" s="33"/>
      <c r="V98" s="33"/>
      <c r="W98" s="33">
        <f>11406.11</f>
        <v>11406.11</v>
      </c>
      <c r="X98" s="33"/>
      <c r="Y98" s="33"/>
      <c r="Z98" s="33"/>
      <c r="AA98" s="33"/>
      <c r="AB98" s="34">
        <f>0</f>
        <v>0</v>
      </c>
      <c r="AC98" s="34"/>
    </row>
    <row r="99" spans="1:29" s="1" customFormat="1" ht="13.5" customHeight="1">
      <c r="A99" s="30" t="s">
        <v>92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91</v>
      </c>
      <c r="M99" s="31"/>
      <c r="N99" s="31"/>
      <c r="O99" s="31" t="s">
        <v>168</v>
      </c>
      <c r="P99" s="31"/>
      <c r="Q99" s="31"/>
      <c r="R99" s="32" t="s">
        <v>94</v>
      </c>
      <c r="S99" s="32"/>
      <c r="T99" s="33">
        <f>1388221.19</f>
        <v>1388221.19</v>
      </c>
      <c r="U99" s="33"/>
      <c r="V99" s="33"/>
      <c r="W99" s="33">
        <f>222085.18</f>
        <v>222085.18</v>
      </c>
      <c r="X99" s="33"/>
      <c r="Y99" s="33"/>
      <c r="Z99" s="33"/>
      <c r="AA99" s="33"/>
      <c r="AB99" s="34">
        <f>1166136.01</f>
        <v>1166136.01</v>
      </c>
      <c r="AC99" s="34"/>
    </row>
    <row r="100" spans="1:29" s="1" customFormat="1" ht="13.5" customHeight="1">
      <c r="A100" s="30" t="s">
        <v>95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91</v>
      </c>
      <c r="M100" s="31"/>
      <c r="N100" s="31"/>
      <c r="O100" s="31" t="s">
        <v>169</v>
      </c>
      <c r="P100" s="31"/>
      <c r="Q100" s="31"/>
      <c r="R100" s="32" t="s">
        <v>97</v>
      </c>
      <c r="S100" s="32"/>
      <c r="T100" s="33">
        <f>419242.81</f>
        <v>419242.81</v>
      </c>
      <c r="U100" s="33"/>
      <c r="V100" s="33"/>
      <c r="W100" s="33">
        <f>67069.7</f>
        <v>67069.7</v>
      </c>
      <c r="X100" s="33"/>
      <c r="Y100" s="33"/>
      <c r="Z100" s="33"/>
      <c r="AA100" s="33"/>
      <c r="AB100" s="34">
        <f>352173.11</f>
        <v>352173.11</v>
      </c>
      <c r="AC100" s="34"/>
    </row>
    <row r="101" spans="1:29" s="1" customFormat="1" ht="13.5" customHeight="1">
      <c r="A101" s="30" t="s">
        <v>92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91</v>
      </c>
      <c r="M101" s="31"/>
      <c r="N101" s="31"/>
      <c r="O101" s="31" t="s">
        <v>170</v>
      </c>
      <c r="P101" s="31"/>
      <c r="Q101" s="31"/>
      <c r="R101" s="32" t="s">
        <v>94</v>
      </c>
      <c r="S101" s="32"/>
      <c r="T101" s="33">
        <f>296545.13</f>
        <v>296545.13</v>
      </c>
      <c r="U101" s="33"/>
      <c r="V101" s="33"/>
      <c r="W101" s="33">
        <f>66914.2</f>
        <v>66914.2</v>
      </c>
      <c r="X101" s="33"/>
      <c r="Y101" s="33"/>
      <c r="Z101" s="33"/>
      <c r="AA101" s="33"/>
      <c r="AB101" s="34">
        <f>229630.93</f>
        <v>229630.93</v>
      </c>
      <c r="AC101" s="34"/>
    </row>
    <row r="102" spans="1:29" s="1" customFormat="1" ht="13.5" customHeight="1">
      <c r="A102" s="30" t="s">
        <v>95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91</v>
      </c>
      <c r="M102" s="31"/>
      <c r="N102" s="31"/>
      <c r="O102" s="31" t="s">
        <v>171</v>
      </c>
      <c r="P102" s="31"/>
      <c r="Q102" s="31"/>
      <c r="R102" s="32" t="s">
        <v>97</v>
      </c>
      <c r="S102" s="32"/>
      <c r="T102" s="33">
        <f>89563.72</f>
        <v>89563.72</v>
      </c>
      <c r="U102" s="33"/>
      <c r="V102" s="33"/>
      <c r="W102" s="33">
        <f>14398.94</f>
        <v>14398.94</v>
      </c>
      <c r="X102" s="33"/>
      <c r="Y102" s="33"/>
      <c r="Z102" s="33"/>
      <c r="AA102" s="33"/>
      <c r="AB102" s="34">
        <f>75164.78</f>
        <v>75164.78</v>
      </c>
      <c r="AC102" s="34"/>
    </row>
    <row r="103" spans="1:29" s="1" customFormat="1" ht="13.5" customHeight="1">
      <c r="A103" s="30" t="s">
        <v>92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91</v>
      </c>
      <c r="M103" s="31"/>
      <c r="N103" s="31"/>
      <c r="O103" s="31" t="s">
        <v>172</v>
      </c>
      <c r="P103" s="31"/>
      <c r="Q103" s="31"/>
      <c r="R103" s="32" t="s">
        <v>94</v>
      </c>
      <c r="S103" s="32"/>
      <c r="T103" s="33">
        <f>23.99</f>
        <v>23.99</v>
      </c>
      <c r="U103" s="33"/>
      <c r="V103" s="33"/>
      <c r="W103" s="33">
        <f>23.99</f>
        <v>23.99</v>
      </c>
      <c r="X103" s="33"/>
      <c r="Y103" s="33"/>
      <c r="Z103" s="33"/>
      <c r="AA103" s="33"/>
      <c r="AB103" s="34">
        <f>0</f>
        <v>0</v>
      </c>
      <c r="AC103" s="34"/>
    </row>
    <row r="104" spans="1:29" s="1" customFormat="1" ht="13.5" customHeight="1">
      <c r="A104" s="30" t="s">
        <v>95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91</v>
      </c>
      <c r="M104" s="31"/>
      <c r="N104" s="31"/>
      <c r="O104" s="31" t="s">
        <v>173</v>
      </c>
      <c r="P104" s="31"/>
      <c r="Q104" s="31"/>
      <c r="R104" s="32" t="s">
        <v>97</v>
      </c>
      <c r="S104" s="32"/>
      <c r="T104" s="33">
        <f>7.24</f>
        <v>7.24</v>
      </c>
      <c r="U104" s="33"/>
      <c r="V104" s="33"/>
      <c r="W104" s="33">
        <f>7.24</f>
        <v>7.24</v>
      </c>
      <c r="X104" s="33"/>
      <c r="Y104" s="33"/>
      <c r="Z104" s="33"/>
      <c r="AA104" s="33"/>
      <c r="AB104" s="34">
        <f>0</f>
        <v>0</v>
      </c>
      <c r="AC104" s="34"/>
    </row>
    <row r="105" spans="1:29" s="1" customFormat="1" ht="13.5" customHeight="1">
      <c r="A105" s="30" t="s">
        <v>106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91</v>
      </c>
      <c r="M105" s="31"/>
      <c r="N105" s="31"/>
      <c r="O105" s="31" t="s">
        <v>174</v>
      </c>
      <c r="P105" s="31"/>
      <c r="Q105" s="31"/>
      <c r="R105" s="32" t="s">
        <v>107</v>
      </c>
      <c r="S105" s="32"/>
      <c r="T105" s="33">
        <f>3091.94</f>
        <v>3091.94</v>
      </c>
      <c r="U105" s="33"/>
      <c r="V105" s="33"/>
      <c r="W105" s="33">
        <f>3091.94</f>
        <v>3091.94</v>
      </c>
      <c r="X105" s="33"/>
      <c r="Y105" s="33"/>
      <c r="Z105" s="33"/>
      <c r="AA105" s="33"/>
      <c r="AB105" s="34">
        <f>0</f>
        <v>0</v>
      </c>
      <c r="AC105" s="34"/>
    </row>
    <row r="106" spans="1:29" s="1" customFormat="1" ht="13.5" customHeight="1">
      <c r="A106" s="30" t="s">
        <v>127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91</v>
      </c>
      <c r="M106" s="31"/>
      <c r="N106" s="31"/>
      <c r="O106" s="31" t="s">
        <v>175</v>
      </c>
      <c r="P106" s="31"/>
      <c r="Q106" s="31"/>
      <c r="R106" s="32" t="s">
        <v>128</v>
      </c>
      <c r="S106" s="32"/>
      <c r="T106" s="33">
        <f>1396000</f>
        <v>1396000</v>
      </c>
      <c r="U106" s="33"/>
      <c r="V106" s="33"/>
      <c r="W106" s="33">
        <f>859067.76</f>
        <v>859067.76</v>
      </c>
      <c r="X106" s="33"/>
      <c r="Y106" s="33"/>
      <c r="Z106" s="33"/>
      <c r="AA106" s="33"/>
      <c r="AB106" s="34">
        <f>536932.24</f>
        <v>536932.24</v>
      </c>
      <c r="AC106" s="34"/>
    </row>
    <row r="107" spans="1:29" s="1" customFormat="1" ht="13.5" customHeight="1">
      <c r="A107" s="30" t="s">
        <v>133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91</v>
      </c>
      <c r="M107" s="31"/>
      <c r="N107" s="31"/>
      <c r="O107" s="31" t="s">
        <v>175</v>
      </c>
      <c r="P107" s="31"/>
      <c r="Q107" s="31"/>
      <c r="R107" s="32" t="s">
        <v>134</v>
      </c>
      <c r="S107" s="32"/>
      <c r="T107" s="33">
        <f>205000</f>
        <v>205000</v>
      </c>
      <c r="U107" s="33"/>
      <c r="V107" s="33"/>
      <c r="W107" s="33">
        <f>205000</f>
        <v>205000</v>
      </c>
      <c r="X107" s="33"/>
      <c r="Y107" s="33"/>
      <c r="Z107" s="33"/>
      <c r="AA107" s="33"/>
      <c r="AB107" s="34">
        <f>0</f>
        <v>0</v>
      </c>
      <c r="AC107" s="34"/>
    </row>
    <row r="108" spans="1:29" s="1" customFormat="1" ht="13.5" customHeight="1">
      <c r="A108" s="30" t="s">
        <v>127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91</v>
      </c>
      <c r="M108" s="31"/>
      <c r="N108" s="31"/>
      <c r="O108" s="31" t="s">
        <v>176</v>
      </c>
      <c r="P108" s="31"/>
      <c r="Q108" s="31"/>
      <c r="R108" s="32" t="s">
        <v>128</v>
      </c>
      <c r="S108" s="32"/>
      <c r="T108" s="33">
        <f>750000</f>
        <v>750000</v>
      </c>
      <c r="U108" s="33"/>
      <c r="V108" s="33"/>
      <c r="W108" s="33">
        <f>284971.92</f>
        <v>284971.92</v>
      </c>
      <c r="X108" s="33"/>
      <c r="Y108" s="33"/>
      <c r="Z108" s="33"/>
      <c r="AA108" s="33"/>
      <c r="AB108" s="34">
        <f>465028.08</f>
        <v>465028.08</v>
      </c>
      <c r="AC108" s="34"/>
    </row>
    <row r="109" spans="1:29" s="1" customFormat="1" ht="13.5" customHeight="1">
      <c r="A109" s="30" t="s">
        <v>133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91</v>
      </c>
      <c r="M109" s="31"/>
      <c r="N109" s="31"/>
      <c r="O109" s="31" t="s">
        <v>177</v>
      </c>
      <c r="P109" s="31"/>
      <c r="Q109" s="31"/>
      <c r="R109" s="32" t="s">
        <v>134</v>
      </c>
      <c r="S109" s="32"/>
      <c r="T109" s="33">
        <f>300000</f>
        <v>300000</v>
      </c>
      <c r="U109" s="33"/>
      <c r="V109" s="33"/>
      <c r="W109" s="33">
        <f>300000</f>
        <v>300000</v>
      </c>
      <c r="X109" s="33"/>
      <c r="Y109" s="33"/>
      <c r="Z109" s="33"/>
      <c r="AA109" s="33"/>
      <c r="AB109" s="34">
        <f>0</f>
        <v>0</v>
      </c>
      <c r="AC109" s="34"/>
    </row>
    <row r="110" spans="1:29" s="1" customFormat="1" ht="13.5" customHeight="1">
      <c r="A110" s="30" t="s">
        <v>125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91</v>
      </c>
      <c r="M110" s="31"/>
      <c r="N110" s="31"/>
      <c r="O110" s="31" t="s">
        <v>178</v>
      </c>
      <c r="P110" s="31"/>
      <c r="Q110" s="31"/>
      <c r="R110" s="32" t="s">
        <v>126</v>
      </c>
      <c r="S110" s="32"/>
      <c r="T110" s="33">
        <f>1300934.62</f>
        <v>1300934.62</v>
      </c>
      <c r="U110" s="33"/>
      <c r="V110" s="33"/>
      <c r="W110" s="33">
        <f>512076.66</f>
        <v>512076.66</v>
      </c>
      <c r="X110" s="33"/>
      <c r="Y110" s="33"/>
      <c r="Z110" s="33"/>
      <c r="AA110" s="33"/>
      <c r="AB110" s="34">
        <f>788857.96</f>
        <v>788857.96</v>
      </c>
      <c r="AC110" s="34"/>
    </row>
    <row r="111" spans="1:29" s="1" customFormat="1" ht="13.5" customHeight="1">
      <c r="A111" s="30" t="s">
        <v>129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91</v>
      </c>
      <c r="M111" s="31"/>
      <c r="N111" s="31"/>
      <c r="O111" s="31" t="s">
        <v>179</v>
      </c>
      <c r="P111" s="31"/>
      <c r="Q111" s="31"/>
      <c r="R111" s="32" t="s">
        <v>130</v>
      </c>
      <c r="S111" s="32"/>
      <c r="T111" s="33">
        <f>250000</f>
        <v>250000</v>
      </c>
      <c r="U111" s="33"/>
      <c r="V111" s="33"/>
      <c r="W111" s="35" t="s">
        <v>39</v>
      </c>
      <c r="X111" s="35"/>
      <c r="Y111" s="35"/>
      <c r="Z111" s="35"/>
      <c r="AA111" s="35"/>
      <c r="AB111" s="34">
        <f>250000</f>
        <v>250000</v>
      </c>
      <c r="AC111" s="34"/>
    </row>
    <row r="112" spans="1:29" s="1" customFormat="1" ht="13.5" customHeight="1">
      <c r="A112" s="30" t="s">
        <v>127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91</v>
      </c>
      <c r="M112" s="31"/>
      <c r="N112" s="31"/>
      <c r="O112" s="31" t="s">
        <v>180</v>
      </c>
      <c r="P112" s="31"/>
      <c r="Q112" s="31"/>
      <c r="R112" s="32" t="s">
        <v>128</v>
      </c>
      <c r="S112" s="32"/>
      <c r="T112" s="33">
        <f>3406715.06</f>
        <v>3406715.06</v>
      </c>
      <c r="U112" s="33"/>
      <c r="V112" s="33"/>
      <c r="W112" s="35" t="s">
        <v>39</v>
      </c>
      <c r="X112" s="35"/>
      <c r="Y112" s="35"/>
      <c r="Z112" s="35"/>
      <c r="AA112" s="35"/>
      <c r="AB112" s="34">
        <f>3406715.06</f>
        <v>3406715.06</v>
      </c>
      <c r="AC112" s="34"/>
    </row>
    <row r="113" spans="1:29" s="1" customFormat="1" ht="13.5" customHeight="1">
      <c r="A113" s="30" t="s">
        <v>106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91</v>
      </c>
      <c r="M113" s="31"/>
      <c r="N113" s="31"/>
      <c r="O113" s="31" t="s">
        <v>180</v>
      </c>
      <c r="P113" s="31"/>
      <c r="Q113" s="31"/>
      <c r="R113" s="32" t="s">
        <v>107</v>
      </c>
      <c r="S113" s="32"/>
      <c r="T113" s="33">
        <f>25000</f>
        <v>25000</v>
      </c>
      <c r="U113" s="33"/>
      <c r="V113" s="33"/>
      <c r="W113" s="33">
        <f>25000</f>
        <v>25000</v>
      </c>
      <c r="X113" s="33"/>
      <c r="Y113" s="33"/>
      <c r="Z113" s="33"/>
      <c r="AA113" s="33"/>
      <c r="AB113" s="34">
        <f>0</f>
        <v>0</v>
      </c>
      <c r="AC113" s="34"/>
    </row>
    <row r="114" spans="1:29" s="1" customFormat="1" ht="13.5" customHeight="1">
      <c r="A114" s="30" t="s">
        <v>106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91</v>
      </c>
      <c r="M114" s="31"/>
      <c r="N114" s="31"/>
      <c r="O114" s="31" t="s">
        <v>181</v>
      </c>
      <c r="P114" s="31"/>
      <c r="Q114" s="31"/>
      <c r="R114" s="32" t="s">
        <v>107</v>
      </c>
      <c r="S114" s="32"/>
      <c r="T114" s="33">
        <f>25000</f>
        <v>25000</v>
      </c>
      <c r="U114" s="33"/>
      <c r="V114" s="33"/>
      <c r="W114" s="33">
        <f>25000</f>
        <v>25000</v>
      </c>
      <c r="X114" s="33"/>
      <c r="Y114" s="33"/>
      <c r="Z114" s="33"/>
      <c r="AA114" s="33"/>
      <c r="AB114" s="34">
        <f>0</f>
        <v>0</v>
      </c>
      <c r="AC114" s="34"/>
    </row>
    <row r="115" spans="1:29" s="1" customFormat="1" ht="13.5" customHeight="1">
      <c r="A115" s="30" t="s">
        <v>133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91</v>
      </c>
      <c r="M115" s="31"/>
      <c r="N115" s="31"/>
      <c r="O115" s="31" t="s">
        <v>182</v>
      </c>
      <c r="P115" s="31"/>
      <c r="Q115" s="31"/>
      <c r="R115" s="32" t="s">
        <v>134</v>
      </c>
      <c r="S115" s="32"/>
      <c r="T115" s="33">
        <f>150000</f>
        <v>150000</v>
      </c>
      <c r="U115" s="33"/>
      <c r="V115" s="33"/>
      <c r="W115" s="33">
        <f>126938.7</f>
        <v>126938.7</v>
      </c>
      <c r="X115" s="33"/>
      <c r="Y115" s="33"/>
      <c r="Z115" s="33"/>
      <c r="AA115" s="33"/>
      <c r="AB115" s="34">
        <f>23061.3</f>
        <v>23061.3</v>
      </c>
      <c r="AC115" s="34"/>
    </row>
    <row r="116" spans="1:29" s="1" customFormat="1" ht="13.5" customHeight="1">
      <c r="A116" s="30" t="s">
        <v>183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91</v>
      </c>
      <c r="M116" s="31"/>
      <c r="N116" s="31"/>
      <c r="O116" s="31" t="s">
        <v>184</v>
      </c>
      <c r="P116" s="31"/>
      <c r="Q116" s="31"/>
      <c r="R116" s="32" t="s">
        <v>185</v>
      </c>
      <c r="S116" s="32"/>
      <c r="T116" s="33">
        <f>300000</f>
        <v>300000</v>
      </c>
      <c r="U116" s="33"/>
      <c r="V116" s="33"/>
      <c r="W116" s="33">
        <f>208936</f>
        <v>208936</v>
      </c>
      <c r="X116" s="33"/>
      <c r="Y116" s="33"/>
      <c r="Z116" s="33"/>
      <c r="AA116" s="33"/>
      <c r="AB116" s="34">
        <f>91064</f>
        <v>91064</v>
      </c>
      <c r="AC116" s="34"/>
    </row>
    <row r="117" spans="1:29" s="1" customFormat="1" ht="13.5" customHeight="1">
      <c r="A117" s="30" t="s">
        <v>125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91</v>
      </c>
      <c r="M117" s="31"/>
      <c r="N117" s="31"/>
      <c r="O117" s="31" t="s">
        <v>186</v>
      </c>
      <c r="P117" s="31"/>
      <c r="Q117" s="31"/>
      <c r="R117" s="32" t="s">
        <v>126</v>
      </c>
      <c r="S117" s="32"/>
      <c r="T117" s="33">
        <f>30000</f>
        <v>30000</v>
      </c>
      <c r="U117" s="33"/>
      <c r="V117" s="33"/>
      <c r="W117" s="33">
        <f>5715.02</f>
        <v>5715.02</v>
      </c>
      <c r="X117" s="33"/>
      <c r="Y117" s="33"/>
      <c r="Z117" s="33"/>
      <c r="AA117" s="33"/>
      <c r="AB117" s="34">
        <f>24284.98</f>
        <v>24284.98</v>
      </c>
      <c r="AC117" s="34"/>
    </row>
    <row r="118" spans="1:29" s="1" customFormat="1" ht="13.5" customHeight="1">
      <c r="A118" s="30" t="s">
        <v>127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91</v>
      </c>
      <c r="M118" s="31"/>
      <c r="N118" s="31"/>
      <c r="O118" s="31" t="s">
        <v>186</v>
      </c>
      <c r="P118" s="31"/>
      <c r="Q118" s="31"/>
      <c r="R118" s="32" t="s">
        <v>128</v>
      </c>
      <c r="S118" s="32"/>
      <c r="T118" s="33">
        <f>84150.48</f>
        <v>84150.48</v>
      </c>
      <c r="U118" s="33"/>
      <c r="V118" s="33"/>
      <c r="W118" s="33">
        <f>45826.94</f>
        <v>45826.94</v>
      </c>
      <c r="X118" s="33"/>
      <c r="Y118" s="33"/>
      <c r="Z118" s="33"/>
      <c r="AA118" s="33"/>
      <c r="AB118" s="34">
        <f>38323.54</f>
        <v>38323.54</v>
      </c>
      <c r="AC118" s="34"/>
    </row>
    <row r="119" spans="1:29" s="1" customFormat="1" ht="13.5" customHeight="1">
      <c r="A119" s="30" t="s">
        <v>133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91</v>
      </c>
      <c r="M119" s="31"/>
      <c r="N119" s="31"/>
      <c r="O119" s="31" t="s">
        <v>186</v>
      </c>
      <c r="P119" s="31"/>
      <c r="Q119" s="31"/>
      <c r="R119" s="32" t="s">
        <v>134</v>
      </c>
      <c r="S119" s="32"/>
      <c r="T119" s="33">
        <f>11286</f>
        <v>11286</v>
      </c>
      <c r="U119" s="33"/>
      <c r="V119" s="33"/>
      <c r="W119" s="33">
        <f>11286</f>
        <v>11286</v>
      </c>
      <c r="X119" s="33"/>
      <c r="Y119" s="33"/>
      <c r="Z119" s="33"/>
      <c r="AA119" s="33"/>
      <c r="AB119" s="34">
        <f>0</f>
        <v>0</v>
      </c>
      <c r="AC119" s="34"/>
    </row>
    <row r="120" spans="1:29" s="1" customFormat="1" ht="13.5" customHeight="1">
      <c r="A120" s="30" t="s">
        <v>125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91</v>
      </c>
      <c r="M120" s="31"/>
      <c r="N120" s="31"/>
      <c r="O120" s="31" t="s">
        <v>187</v>
      </c>
      <c r="P120" s="31"/>
      <c r="Q120" s="31"/>
      <c r="R120" s="32" t="s">
        <v>126</v>
      </c>
      <c r="S120" s="32"/>
      <c r="T120" s="33">
        <f>312061.76</f>
        <v>312061.76</v>
      </c>
      <c r="U120" s="33"/>
      <c r="V120" s="33"/>
      <c r="W120" s="33">
        <f>155109.58</f>
        <v>155109.58</v>
      </c>
      <c r="X120" s="33"/>
      <c r="Y120" s="33"/>
      <c r="Z120" s="33"/>
      <c r="AA120" s="33"/>
      <c r="AB120" s="34">
        <f>156952.18</f>
        <v>156952.18</v>
      </c>
      <c r="AC120" s="34"/>
    </row>
    <row r="121" spans="1:29" s="1" customFormat="1" ht="13.5" customHeight="1">
      <c r="A121" s="30" t="s">
        <v>106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91</v>
      </c>
      <c r="M121" s="31"/>
      <c r="N121" s="31"/>
      <c r="O121" s="31" t="s">
        <v>188</v>
      </c>
      <c r="P121" s="31"/>
      <c r="Q121" s="31"/>
      <c r="R121" s="32" t="s">
        <v>107</v>
      </c>
      <c r="S121" s="32"/>
      <c r="T121" s="33">
        <f>117676</f>
        <v>117676</v>
      </c>
      <c r="U121" s="33"/>
      <c r="V121" s="33"/>
      <c r="W121" s="33">
        <f>117148</f>
        <v>117148</v>
      </c>
      <c r="X121" s="33"/>
      <c r="Y121" s="33"/>
      <c r="Z121" s="33"/>
      <c r="AA121" s="33"/>
      <c r="AB121" s="34">
        <f>528</f>
        <v>528</v>
      </c>
      <c r="AC121" s="34"/>
    </row>
    <row r="122" spans="1:29" s="1" customFormat="1" ht="13.5" customHeight="1">
      <c r="A122" s="30" t="s">
        <v>123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91</v>
      </c>
      <c r="M122" s="31"/>
      <c r="N122" s="31"/>
      <c r="O122" s="31" t="s">
        <v>189</v>
      </c>
      <c r="P122" s="31"/>
      <c r="Q122" s="31"/>
      <c r="R122" s="32" t="s">
        <v>124</v>
      </c>
      <c r="S122" s="32"/>
      <c r="T122" s="33">
        <f>150000</f>
        <v>150000</v>
      </c>
      <c r="U122" s="33"/>
      <c r="V122" s="33"/>
      <c r="W122" s="33">
        <f>150000</f>
        <v>150000</v>
      </c>
      <c r="X122" s="33"/>
      <c r="Y122" s="33"/>
      <c r="Z122" s="33"/>
      <c r="AA122" s="33"/>
      <c r="AB122" s="34">
        <f>0</f>
        <v>0</v>
      </c>
      <c r="AC122" s="34"/>
    </row>
    <row r="123" spans="1:29" s="1" customFormat="1" ht="13.5" customHeight="1">
      <c r="A123" s="30" t="s">
        <v>123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91</v>
      </c>
      <c r="M123" s="31"/>
      <c r="N123" s="31"/>
      <c r="O123" s="31" t="s">
        <v>190</v>
      </c>
      <c r="P123" s="31"/>
      <c r="Q123" s="31"/>
      <c r="R123" s="32" t="s">
        <v>124</v>
      </c>
      <c r="S123" s="32"/>
      <c r="T123" s="33">
        <f>8000</f>
        <v>8000</v>
      </c>
      <c r="U123" s="33"/>
      <c r="V123" s="33"/>
      <c r="W123" s="35" t="s">
        <v>39</v>
      </c>
      <c r="X123" s="35"/>
      <c r="Y123" s="35"/>
      <c r="Z123" s="35"/>
      <c r="AA123" s="35"/>
      <c r="AB123" s="34">
        <f>8000</f>
        <v>8000</v>
      </c>
      <c r="AC123" s="34"/>
    </row>
    <row r="124" spans="1:29" s="1" customFormat="1" ht="13.5" customHeight="1">
      <c r="A124" s="30" t="s">
        <v>127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91</v>
      </c>
      <c r="M124" s="31"/>
      <c r="N124" s="31"/>
      <c r="O124" s="31" t="s">
        <v>190</v>
      </c>
      <c r="P124" s="31"/>
      <c r="Q124" s="31"/>
      <c r="R124" s="32" t="s">
        <v>128</v>
      </c>
      <c r="S124" s="32"/>
      <c r="T124" s="33">
        <f>376693.16</f>
        <v>376693.16</v>
      </c>
      <c r="U124" s="33"/>
      <c r="V124" s="33"/>
      <c r="W124" s="33">
        <f>299979.91</f>
        <v>299979.91</v>
      </c>
      <c r="X124" s="33"/>
      <c r="Y124" s="33"/>
      <c r="Z124" s="33"/>
      <c r="AA124" s="33"/>
      <c r="AB124" s="34">
        <f>76713.25</f>
        <v>76713.25</v>
      </c>
      <c r="AC124" s="34"/>
    </row>
    <row r="125" spans="1:29" s="1" customFormat="1" ht="13.5" customHeight="1">
      <c r="A125" s="30" t="s">
        <v>129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 t="s">
        <v>91</v>
      </c>
      <c r="M125" s="31"/>
      <c r="N125" s="31"/>
      <c r="O125" s="31" t="s">
        <v>190</v>
      </c>
      <c r="P125" s="31"/>
      <c r="Q125" s="31"/>
      <c r="R125" s="32" t="s">
        <v>130</v>
      </c>
      <c r="S125" s="32"/>
      <c r="T125" s="33">
        <f>91560</f>
        <v>91560</v>
      </c>
      <c r="U125" s="33"/>
      <c r="V125" s="33"/>
      <c r="W125" s="33">
        <f>91560</f>
        <v>91560</v>
      </c>
      <c r="X125" s="33"/>
      <c r="Y125" s="33"/>
      <c r="Z125" s="33"/>
      <c r="AA125" s="33"/>
      <c r="AB125" s="34">
        <f>0</f>
        <v>0</v>
      </c>
      <c r="AC125" s="34"/>
    </row>
    <row r="126" spans="1:29" s="1" customFormat="1" ht="13.5" customHeight="1">
      <c r="A126" s="30" t="s">
        <v>131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91</v>
      </c>
      <c r="M126" s="31"/>
      <c r="N126" s="31"/>
      <c r="O126" s="31" t="s">
        <v>190</v>
      </c>
      <c r="P126" s="31"/>
      <c r="Q126" s="31"/>
      <c r="R126" s="32" t="s">
        <v>132</v>
      </c>
      <c r="S126" s="32"/>
      <c r="T126" s="33">
        <f>10500</f>
        <v>10500</v>
      </c>
      <c r="U126" s="33"/>
      <c r="V126" s="33"/>
      <c r="W126" s="33">
        <f>10500</f>
        <v>10500</v>
      </c>
      <c r="X126" s="33"/>
      <c r="Y126" s="33"/>
      <c r="Z126" s="33"/>
      <c r="AA126" s="33"/>
      <c r="AB126" s="34">
        <f>0</f>
        <v>0</v>
      </c>
      <c r="AC126" s="34"/>
    </row>
    <row r="127" spans="1:29" s="1" customFormat="1" ht="13.5" customHeight="1">
      <c r="A127" s="30" t="s">
        <v>183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1" t="s">
        <v>91</v>
      </c>
      <c r="M127" s="31"/>
      <c r="N127" s="31"/>
      <c r="O127" s="31" t="s">
        <v>190</v>
      </c>
      <c r="P127" s="31"/>
      <c r="Q127" s="31"/>
      <c r="R127" s="32" t="s">
        <v>185</v>
      </c>
      <c r="S127" s="32"/>
      <c r="T127" s="33">
        <f>39230</f>
        <v>39230</v>
      </c>
      <c r="U127" s="33"/>
      <c r="V127" s="33"/>
      <c r="W127" s="33">
        <f>39230</f>
        <v>39230</v>
      </c>
      <c r="X127" s="33"/>
      <c r="Y127" s="33"/>
      <c r="Z127" s="33"/>
      <c r="AA127" s="33"/>
      <c r="AB127" s="34">
        <f>0</f>
        <v>0</v>
      </c>
      <c r="AC127" s="34"/>
    </row>
    <row r="128" spans="1:29" s="1" customFormat="1" ht="13.5" customHeight="1">
      <c r="A128" s="30" t="s">
        <v>133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 t="s">
        <v>91</v>
      </c>
      <c r="M128" s="31"/>
      <c r="N128" s="31"/>
      <c r="O128" s="31" t="s">
        <v>190</v>
      </c>
      <c r="P128" s="31"/>
      <c r="Q128" s="31"/>
      <c r="R128" s="32" t="s">
        <v>134</v>
      </c>
      <c r="S128" s="32"/>
      <c r="T128" s="33">
        <f>153037.16</f>
        <v>153037.16</v>
      </c>
      <c r="U128" s="33"/>
      <c r="V128" s="33"/>
      <c r="W128" s="33">
        <f>99040.41</f>
        <v>99040.41</v>
      </c>
      <c r="X128" s="33"/>
      <c r="Y128" s="33"/>
      <c r="Z128" s="33"/>
      <c r="AA128" s="33"/>
      <c r="AB128" s="34">
        <f>53996.75</f>
        <v>53996.75</v>
      </c>
      <c r="AC128" s="34"/>
    </row>
    <row r="129" spans="1:29" s="1" customFormat="1" ht="24" customHeight="1">
      <c r="A129" s="30" t="s">
        <v>111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 t="s">
        <v>91</v>
      </c>
      <c r="M129" s="31"/>
      <c r="N129" s="31"/>
      <c r="O129" s="31" t="s">
        <v>191</v>
      </c>
      <c r="P129" s="31"/>
      <c r="Q129" s="31"/>
      <c r="R129" s="32" t="s">
        <v>113</v>
      </c>
      <c r="S129" s="32"/>
      <c r="T129" s="33">
        <f>400295</f>
        <v>400295</v>
      </c>
      <c r="U129" s="33"/>
      <c r="V129" s="33"/>
      <c r="W129" s="33">
        <f>200147.5</f>
        <v>200147.5</v>
      </c>
      <c r="X129" s="33"/>
      <c r="Y129" s="33"/>
      <c r="Z129" s="33"/>
      <c r="AA129" s="33"/>
      <c r="AB129" s="34">
        <f>200147.5</f>
        <v>200147.5</v>
      </c>
      <c r="AC129" s="34"/>
    </row>
    <row r="130" spans="1:29" s="1" customFormat="1" ht="13.5" customHeight="1">
      <c r="A130" s="30" t="s">
        <v>92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 t="s">
        <v>91</v>
      </c>
      <c r="M130" s="31"/>
      <c r="N130" s="31"/>
      <c r="O130" s="31" t="s">
        <v>192</v>
      </c>
      <c r="P130" s="31"/>
      <c r="Q130" s="31"/>
      <c r="R130" s="32" t="s">
        <v>94</v>
      </c>
      <c r="S130" s="32"/>
      <c r="T130" s="33">
        <f>742421.22</f>
        <v>742421.22</v>
      </c>
      <c r="U130" s="33"/>
      <c r="V130" s="33"/>
      <c r="W130" s="33">
        <f>224200.4</f>
        <v>224200.4</v>
      </c>
      <c r="X130" s="33"/>
      <c r="Y130" s="33"/>
      <c r="Z130" s="33"/>
      <c r="AA130" s="33"/>
      <c r="AB130" s="34">
        <f>518220.82</f>
        <v>518220.82</v>
      </c>
      <c r="AC130" s="34"/>
    </row>
    <row r="131" spans="1:29" s="1" customFormat="1" ht="13.5" customHeight="1">
      <c r="A131" s="30" t="s">
        <v>104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 t="s">
        <v>91</v>
      </c>
      <c r="M131" s="31"/>
      <c r="N131" s="31"/>
      <c r="O131" s="31" t="s">
        <v>193</v>
      </c>
      <c r="P131" s="31"/>
      <c r="Q131" s="31"/>
      <c r="R131" s="32" t="s">
        <v>105</v>
      </c>
      <c r="S131" s="32"/>
      <c r="T131" s="33">
        <f>95000</f>
        <v>95000</v>
      </c>
      <c r="U131" s="33"/>
      <c r="V131" s="33"/>
      <c r="W131" s="33">
        <f>43405.8</f>
        <v>43405.8</v>
      </c>
      <c r="X131" s="33"/>
      <c r="Y131" s="33"/>
      <c r="Z131" s="33"/>
      <c r="AA131" s="33"/>
      <c r="AB131" s="34">
        <f>51594.2</f>
        <v>51594.2</v>
      </c>
      <c r="AC131" s="34"/>
    </row>
    <row r="132" spans="1:29" s="1" customFormat="1" ht="13.5" customHeight="1">
      <c r="A132" s="30" t="s">
        <v>95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 t="s">
        <v>91</v>
      </c>
      <c r="M132" s="31"/>
      <c r="N132" s="31"/>
      <c r="O132" s="31" t="s">
        <v>194</v>
      </c>
      <c r="P132" s="31"/>
      <c r="Q132" s="31"/>
      <c r="R132" s="32" t="s">
        <v>97</v>
      </c>
      <c r="S132" s="32"/>
      <c r="T132" s="33">
        <f>224465.23</f>
        <v>224465.23</v>
      </c>
      <c r="U132" s="33"/>
      <c r="V132" s="33"/>
      <c r="W132" s="33">
        <f>56646.27</f>
        <v>56646.27</v>
      </c>
      <c r="X132" s="33"/>
      <c r="Y132" s="33"/>
      <c r="Z132" s="33"/>
      <c r="AA132" s="33"/>
      <c r="AB132" s="34">
        <f>167818.96</f>
        <v>167818.96</v>
      </c>
      <c r="AC132" s="34"/>
    </row>
    <row r="133" spans="1:29" s="1" customFormat="1" ht="13.5" customHeight="1">
      <c r="A133" s="30" t="s">
        <v>92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1" t="s">
        <v>91</v>
      </c>
      <c r="M133" s="31"/>
      <c r="N133" s="31"/>
      <c r="O133" s="31" t="s">
        <v>195</v>
      </c>
      <c r="P133" s="31"/>
      <c r="Q133" s="31"/>
      <c r="R133" s="32" t="s">
        <v>94</v>
      </c>
      <c r="S133" s="32"/>
      <c r="T133" s="33">
        <f>5350152.26</f>
        <v>5350152.26</v>
      </c>
      <c r="U133" s="33"/>
      <c r="V133" s="33"/>
      <c r="W133" s="33">
        <f>2363205.14</f>
        <v>2363205.14</v>
      </c>
      <c r="X133" s="33"/>
      <c r="Y133" s="33"/>
      <c r="Z133" s="33"/>
      <c r="AA133" s="33"/>
      <c r="AB133" s="34">
        <f>2986947.12</f>
        <v>2986947.12</v>
      </c>
      <c r="AC133" s="34"/>
    </row>
    <row r="134" spans="1:29" s="1" customFormat="1" ht="13.5" customHeight="1">
      <c r="A134" s="30" t="s">
        <v>99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1" t="s">
        <v>91</v>
      </c>
      <c r="M134" s="31"/>
      <c r="N134" s="31"/>
      <c r="O134" s="31" t="s">
        <v>195</v>
      </c>
      <c r="P134" s="31"/>
      <c r="Q134" s="31"/>
      <c r="R134" s="32" t="s">
        <v>100</v>
      </c>
      <c r="S134" s="32"/>
      <c r="T134" s="33">
        <f>10000</f>
        <v>10000</v>
      </c>
      <c r="U134" s="33"/>
      <c r="V134" s="33"/>
      <c r="W134" s="33">
        <f>9143.65</f>
        <v>9143.65</v>
      </c>
      <c r="X134" s="33"/>
      <c r="Y134" s="33"/>
      <c r="Z134" s="33"/>
      <c r="AA134" s="33"/>
      <c r="AB134" s="34">
        <f>856.35</f>
        <v>856.35</v>
      </c>
      <c r="AC134" s="34"/>
    </row>
    <row r="135" spans="1:29" s="1" customFormat="1" ht="13.5" customHeight="1">
      <c r="A135" s="30" t="s">
        <v>104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1" t="s">
        <v>91</v>
      </c>
      <c r="M135" s="31"/>
      <c r="N135" s="31"/>
      <c r="O135" s="31" t="s">
        <v>196</v>
      </c>
      <c r="P135" s="31"/>
      <c r="Q135" s="31"/>
      <c r="R135" s="32" t="s">
        <v>105</v>
      </c>
      <c r="S135" s="32"/>
      <c r="T135" s="33">
        <f>100000</f>
        <v>100000</v>
      </c>
      <c r="U135" s="33"/>
      <c r="V135" s="33"/>
      <c r="W135" s="33">
        <f>24871.83</f>
        <v>24871.83</v>
      </c>
      <c r="X135" s="33"/>
      <c r="Y135" s="33"/>
      <c r="Z135" s="33"/>
      <c r="AA135" s="33"/>
      <c r="AB135" s="34">
        <f>75128.17</f>
        <v>75128.17</v>
      </c>
      <c r="AC135" s="34"/>
    </row>
    <row r="136" spans="1:29" s="1" customFormat="1" ht="13.5" customHeight="1">
      <c r="A136" s="30" t="s">
        <v>106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1" t="s">
        <v>91</v>
      </c>
      <c r="M136" s="31"/>
      <c r="N136" s="31"/>
      <c r="O136" s="31" t="s">
        <v>196</v>
      </c>
      <c r="P136" s="31"/>
      <c r="Q136" s="31"/>
      <c r="R136" s="32" t="s">
        <v>107</v>
      </c>
      <c r="S136" s="32"/>
      <c r="T136" s="33">
        <f>3987</f>
        <v>3987</v>
      </c>
      <c r="U136" s="33"/>
      <c r="V136" s="33"/>
      <c r="W136" s="33">
        <f>3987</f>
        <v>3987</v>
      </c>
      <c r="X136" s="33"/>
      <c r="Y136" s="33"/>
      <c r="Z136" s="33"/>
      <c r="AA136" s="33"/>
      <c r="AB136" s="34">
        <f>0</f>
        <v>0</v>
      </c>
      <c r="AC136" s="34"/>
    </row>
    <row r="137" spans="1:29" s="1" customFormat="1" ht="13.5" customHeight="1">
      <c r="A137" s="30" t="s">
        <v>95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1" t="s">
        <v>91</v>
      </c>
      <c r="M137" s="31"/>
      <c r="N137" s="31"/>
      <c r="O137" s="31" t="s">
        <v>197</v>
      </c>
      <c r="P137" s="31"/>
      <c r="Q137" s="31"/>
      <c r="R137" s="32" t="s">
        <v>97</v>
      </c>
      <c r="S137" s="32"/>
      <c r="T137" s="33">
        <f>1615745.99</f>
        <v>1615745.99</v>
      </c>
      <c r="U137" s="33"/>
      <c r="V137" s="33"/>
      <c r="W137" s="33">
        <f>763094.49</f>
        <v>763094.49</v>
      </c>
      <c r="X137" s="33"/>
      <c r="Y137" s="33"/>
      <c r="Z137" s="33"/>
      <c r="AA137" s="33"/>
      <c r="AB137" s="34">
        <f>852651.5</f>
        <v>852651.5</v>
      </c>
      <c r="AC137" s="34"/>
    </row>
    <row r="138" spans="1:29" s="1" customFormat="1" ht="13.5" customHeight="1">
      <c r="A138" s="30" t="s">
        <v>120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1" t="s">
        <v>91</v>
      </c>
      <c r="M138" s="31"/>
      <c r="N138" s="31"/>
      <c r="O138" s="31" t="s">
        <v>198</v>
      </c>
      <c r="P138" s="31"/>
      <c r="Q138" s="31"/>
      <c r="R138" s="32" t="s">
        <v>122</v>
      </c>
      <c r="S138" s="32"/>
      <c r="T138" s="33">
        <f>86688.15</f>
        <v>86688.15</v>
      </c>
      <c r="U138" s="33"/>
      <c r="V138" s="33"/>
      <c r="W138" s="33">
        <f>38902.11</f>
        <v>38902.11</v>
      </c>
      <c r="X138" s="33"/>
      <c r="Y138" s="33"/>
      <c r="Z138" s="33"/>
      <c r="AA138" s="33"/>
      <c r="AB138" s="34">
        <f>47786.04</f>
        <v>47786.04</v>
      </c>
      <c r="AC138" s="34"/>
    </row>
    <row r="139" spans="1:29" s="1" customFormat="1" ht="13.5" customHeight="1">
      <c r="A139" s="30" t="s">
        <v>125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1" t="s">
        <v>91</v>
      </c>
      <c r="M139" s="31"/>
      <c r="N139" s="31"/>
      <c r="O139" s="31" t="s">
        <v>198</v>
      </c>
      <c r="P139" s="31"/>
      <c r="Q139" s="31"/>
      <c r="R139" s="32" t="s">
        <v>126</v>
      </c>
      <c r="S139" s="32"/>
      <c r="T139" s="33">
        <f>59112.29</f>
        <v>59112.29</v>
      </c>
      <c r="U139" s="33"/>
      <c r="V139" s="33"/>
      <c r="W139" s="33">
        <f>18899.92</f>
        <v>18899.92</v>
      </c>
      <c r="X139" s="33"/>
      <c r="Y139" s="33"/>
      <c r="Z139" s="33"/>
      <c r="AA139" s="33"/>
      <c r="AB139" s="34">
        <f>40212.37</f>
        <v>40212.37</v>
      </c>
      <c r="AC139" s="34"/>
    </row>
    <row r="140" spans="1:29" s="1" customFormat="1" ht="13.5" customHeight="1">
      <c r="A140" s="30" t="s">
        <v>127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1" t="s">
        <v>91</v>
      </c>
      <c r="M140" s="31"/>
      <c r="N140" s="31"/>
      <c r="O140" s="31" t="s">
        <v>198</v>
      </c>
      <c r="P140" s="31"/>
      <c r="Q140" s="31"/>
      <c r="R140" s="32" t="s">
        <v>128</v>
      </c>
      <c r="S140" s="32"/>
      <c r="T140" s="33">
        <f>2000</f>
        <v>2000</v>
      </c>
      <c r="U140" s="33"/>
      <c r="V140" s="33"/>
      <c r="W140" s="33">
        <f>2000</f>
        <v>2000</v>
      </c>
      <c r="X140" s="33"/>
      <c r="Y140" s="33"/>
      <c r="Z140" s="33"/>
      <c r="AA140" s="33"/>
      <c r="AB140" s="34">
        <f>0</f>
        <v>0</v>
      </c>
      <c r="AC140" s="34"/>
    </row>
    <row r="141" spans="1:29" s="1" customFormat="1" ht="13.5" customHeight="1">
      <c r="A141" s="30" t="s">
        <v>106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1" t="s">
        <v>91</v>
      </c>
      <c r="M141" s="31"/>
      <c r="N141" s="31"/>
      <c r="O141" s="31" t="s">
        <v>198</v>
      </c>
      <c r="P141" s="31"/>
      <c r="Q141" s="31"/>
      <c r="R141" s="32" t="s">
        <v>107</v>
      </c>
      <c r="S141" s="32"/>
      <c r="T141" s="33">
        <f>869000</f>
        <v>869000</v>
      </c>
      <c r="U141" s="33"/>
      <c r="V141" s="33"/>
      <c r="W141" s="33">
        <f>344409</f>
        <v>344409</v>
      </c>
      <c r="X141" s="33"/>
      <c r="Y141" s="33"/>
      <c r="Z141" s="33"/>
      <c r="AA141" s="33"/>
      <c r="AB141" s="34">
        <f>524591</f>
        <v>524591</v>
      </c>
      <c r="AC141" s="34"/>
    </row>
    <row r="142" spans="1:29" s="1" customFormat="1" ht="13.5" customHeight="1">
      <c r="A142" s="30" t="s">
        <v>129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1" t="s">
        <v>91</v>
      </c>
      <c r="M142" s="31"/>
      <c r="N142" s="31"/>
      <c r="O142" s="31" t="s">
        <v>198</v>
      </c>
      <c r="P142" s="31"/>
      <c r="Q142" s="31"/>
      <c r="R142" s="32" t="s">
        <v>130</v>
      </c>
      <c r="S142" s="32"/>
      <c r="T142" s="33">
        <f>8841</f>
        <v>8841</v>
      </c>
      <c r="U142" s="33"/>
      <c r="V142" s="33"/>
      <c r="W142" s="33">
        <f>8841</f>
        <v>8841</v>
      </c>
      <c r="X142" s="33"/>
      <c r="Y142" s="33"/>
      <c r="Z142" s="33"/>
      <c r="AA142" s="33"/>
      <c r="AB142" s="34">
        <f>0</f>
        <v>0</v>
      </c>
      <c r="AC142" s="34"/>
    </row>
    <row r="143" spans="1:29" s="1" customFormat="1" ht="13.5" customHeight="1">
      <c r="A143" s="30" t="s">
        <v>133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1" t="s">
        <v>91</v>
      </c>
      <c r="M143" s="31"/>
      <c r="N143" s="31"/>
      <c r="O143" s="31" t="s">
        <v>198</v>
      </c>
      <c r="P143" s="31"/>
      <c r="Q143" s="31"/>
      <c r="R143" s="32" t="s">
        <v>134</v>
      </c>
      <c r="S143" s="32"/>
      <c r="T143" s="33">
        <f>241495.55</f>
        <v>241495.55</v>
      </c>
      <c r="U143" s="33"/>
      <c r="V143" s="33"/>
      <c r="W143" s="33">
        <f>241495.55</f>
        <v>241495.55</v>
      </c>
      <c r="X143" s="33"/>
      <c r="Y143" s="33"/>
      <c r="Z143" s="33"/>
      <c r="AA143" s="33"/>
      <c r="AB143" s="34">
        <f>0</f>
        <v>0</v>
      </c>
      <c r="AC143" s="34"/>
    </row>
    <row r="144" spans="1:29" s="1" customFormat="1" ht="13.5" customHeight="1">
      <c r="A144" s="30" t="s">
        <v>125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1" t="s">
        <v>91</v>
      </c>
      <c r="M144" s="31"/>
      <c r="N144" s="31"/>
      <c r="O144" s="31" t="s">
        <v>199</v>
      </c>
      <c r="P144" s="31"/>
      <c r="Q144" s="31"/>
      <c r="R144" s="32" t="s">
        <v>126</v>
      </c>
      <c r="S144" s="32"/>
      <c r="T144" s="33">
        <f>900000</f>
        <v>900000</v>
      </c>
      <c r="U144" s="33"/>
      <c r="V144" s="33"/>
      <c r="W144" s="33">
        <f>503261.48</f>
        <v>503261.48</v>
      </c>
      <c r="X144" s="33"/>
      <c r="Y144" s="33"/>
      <c r="Z144" s="33"/>
      <c r="AA144" s="33"/>
      <c r="AB144" s="34">
        <f>396738.52</f>
        <v>396738.52</v>
      </c>
      <c r="AC144" s="34"/>
    </row>
    <row r="145" spans="1:29" s="1" customFormat="1" ht="13.5" customHeight="1">
      <c r="A145" s="30" t="s">
        <v>92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1" t="s">
        <v>91</v>
      </c>
      <c r="M145" s="31"/>
      <c r="N145" s="31"/>
      <c r="O145" s="31" t="s">
        <v>200</v>
      </c>
      <c r="P145" s="31"/>
      <c r="Q145" s="31"/>
      <c r="R145" s="32" t="s">
        <v>94</v>
      </c>
      <c r="S145" s="32"/>
      <c r="T145" s="33">
        <f>3061277.43</f>
        <v>3061277.43</v>
      </c>
      <c r="U145" s="33"/>
      <c r="V145" s="33"/>
      <c r="W145" s="33">
        <f>1204933.74</f>
        <v>1204933.74</v>
      </c>
      <c r="X145" s="33"/>
      <c r="Y145" s="33"/>
      <c r="Z145" s="33"/>
      <c r="AA145" s="33"/>
      <c r="AB145" s="34">
        <f>1856343.69</f>
        <v>1856343.69</v>
      </c>
      <c r="AC145" s="34"/>
    </row>
    <row r="146" spans="1:29" s="1" customFormat="1" ht="13.5" customHeight="1">
      <c r="A146" s="30" t="s">
        <v>95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1" t="s">
        <v>91</v>
      </c>
      <c r="M146" s="31"/>
      <c r="N146" s="31"/>
      <c r="O146" s="31" t="s">
        <v>201</v>
      </c>
      <c r="P146" s="31"/>
      <c r="Q146" s="31"/>
      <c r="R146" s="32" t="s">
        <v>97</v>
      </c>
      <c r="S146" s="32"/>
      <c r="T146" s="33">
        <f>924505.79</f>
        <v>924505.79</v>
      </c>
      <c r="U146" s="33"/>
      <c r="V146" s="33"/>
      <c r="W146" s="33">
        <f>186991.88</f>
        <v>186991.88</v>
      </c>
      <c r="X146" s="33"/>
      <c r="Y146" s="33"/>
      <c r="Z146" s="33"/>
      <c r="AA146" s="33"/>
      <c r="AB146" s="34">
        <f>737513.91</f>
        <v>737513.91</v>
      </c>
      <c r="AC146" s="34"/>
    </row>
    <row r="147" spans="1:29" s="1" customFormat="1" ht="13.5" customHeight="1">
      <c r="A147" s="30" t="s">
        <v>106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1" t="s">
        <v>91</v>
      </c>
      <c r="M147" s="31"/>
      <c r="N147" s="31"/>
      <c r="O147" s="31" t="s">
        <v>202</v>
      </c>
      <c r="P147" s="31"/>
      <c r="Q147" s="31"/>
      <c r="R147" s="32" t="s">
        <v>107</v>
      </c>
      <c r="S147" s="32"/>
      <c r="T147" s="33">
        <f>56958</f>
        <v>56958</v>
      </c>
      <c r="U147" s="33"/>
      <c r="V147" s="33"/>
      <c r="W147" s="33">
        <f>16358</f>
        <v>16358</v>
      </c>
      <c r="X147" s="33"/>
      <c r="Y147" s="33"/>
      <c r="Z147" s="33"/>
      <c r="AA147" s="33"/>
      <c r="AB147" s="34">
        <f>40600</f>
        <v>40600</v>
      </c>
      <c r="AC147" s="34"/>
    </row>
    <row r="148" spans="1:29" s="1" customFormat="1" ht="13.5" customHeight="1">
      <c r="A148" s="30" t="s">
        <v>129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1" t="s">
        <v>91</v>
      </c>
      <c r="M148" s="31"/>
      <c r="N148" s="31"/>
      <c r="O148" s="31" t="s">
        <v>202</v>
      </c>
      <c r="P148" s="31"/>
      <c r="Q148" s="31"/>
      <c r="R148" s="32" t="s">
        <v>130</v>
      </c>
      <c r="S148" s="32"/>
      <c r="T148" s="33">
        <f>49654</f>
        <v>49654</v>
      </c>
      <c r="U148" s="33"/>
      <c r="V148" s="33"/>
      <c r="W148" s="33">
        <f>49654</f>
        <v>49654</v>
      </c>
      <c r="X148" s="33"/>
      <c r="Y148" s="33"/>
      <c r="Z148" s="33"/>
      <c r="AA148" s="33"/>
      <c r="AB148" s="34">
        <f>0</f>
        <v>0</v>
      </c>
      <c r="AC148" s="34"/>
    </row>
    <row r="149" spans="1:29" s="1" customFormat="1" ht="13.5" customHeight="1">
      <c r="A149" s="30" t="s">
        <v>133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1" t="s">
        <v>91</v>
      </c>
      <c r="M149" s="31"/>
      <c r="N149" s="31"/>
      <c r="O149" s="31" t="s">
        <v>202</v>
      </c>
      <c r="P149" s="31"/>
      <c r="Q149" s="31"/>
      <c r="R149" s="32" t="s">
        <v>134</v>
      </c>
      <c r="S149" s="32"/>
      <c r="T149" s="33">
        <f>41453</f>
        <v>41453</v>
      </c>
      <c r="U149" s="33"/>
      <c r="V149" s="33"/>
      <c r="W149" s="33">
        <f>40683.81</f>
        <v>40683.81</v>
      </c>
      <c r="X149" s="33"/>
      <c r="Y149" s="33"/>
      <c r="Z149" s="33"/>
      <c r="AA149" s="33"/>
      <c r="AB149" s="34">
        <f>769.19</f>
        <v>769.19</v>
      </c>
      <c r="AC149" s="34"/>
    </row>
    <row r="150" spans="1:29" s="1" customFormat="1" ht="24" customHeight="1">
      <c r="A150" s="30" t="s">
        <v>203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1" t="s">
        <v>91</v>
      </c>
      <c r="M150" s="31"/>
      <c r="N150" s="31"/>
      <c r="O150" s="31" t="s">
        <v>202</v>
      </c>
      <c r="P150" s="31"/>
      <c r="Q150" s="31"/>
      <c r="R150" s="32" t="s">
        <v>204</v>
      </c>
      <c r="S150" s="32"/>
      <c r="T150" s="33">
        <f>26960</f>
        <v>26960</v>
      </c>
      <c r="U150" s="33"/>
      <c r="V150" s="33"/>
      <c r="W150" s="33">
        <f>26960</f>
        <v>26960</v>
      </c>
      <c r="X150" s="33"/>
      <c r="Y150" s="33"/>
      <c r="Z150" s="33"/>
      <c r="AA150" s="33"/>
      <c r="AB150" s="34">
        <f>0</f>
        <v>0</v>
      </c>
      <c r="AC150" s="34"/>
    </row>
    <row r="151" spans="1:29" s="1" customFormat="1" ht="24" customHeight="1">
      <c r="A151" s="30" t="s">
        <v>140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 t="s">
        <v>91</v>
      </c>
      <c r="M151" s="31"/>
      <c r="N151" s="31"/>
      <c r="O151" s="31" t="s">
        <v>202</v>
      </c>
      <c r="P151" s="31"/>
      <c r="Q151" s="31"/>
      <c r="R151" s="32" t="s">
        <v>141</v>
      </c>
      <c r="S151" s="32"/>
      <c r="T151" s="33">
        <f>172323.33</f>
        <v>172323.33</v>
      </c>
      <c r="U151" s="33"/>
      <c r="V151" s="33"/>
      <c r="W151" s="33">
        <f>92189.6</f>
        <v>92189.6</v>
      </c>
      <c r="X151" s="33"/>
      <c r="Y151" s="33"/>
      <c r="Z151" s="33"/>
      <c r="AA151" s="33"/>
      <c r="AB151" s="34">
        <f>80133.73</f>
        <v>80133.73</v>
      </c>
      <c r="AC151" s="34"/>
    </row>
    <row r="152" spans="1:29" s="1" customFormat="1" ht="13.5" customHeight="1">
      <c r="A152" s="30" t="s">
        <v>106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1" t="s">
        <v>91</v>
      </c>
      <c r="M152" s="31"/>
      <c r="N152" s="31"/>
      <c r="O152" s="31" t="s">
        <v>205</v>
      </c>
      <c r="P152" s="31"/>
      <c r="Q152" s="31"/>
      <c r="R152" s="32" t="s">
        <v>107</v>
      </c>
      <c r="S152" s="32"/>
      <c r="T152" s="33">
        <f>40000</f>
        <v>40000</v>
      </c>
      <c r="U152" s="33"/>
      <c r="V152" s="33"/>
      <c r="W152" s="33">
        <f>40000</f>
        <v>40000</v>
      </c>
      <c r="X152" s="33"/>
      <c r="Y152" s="33"/>
      <c r="Z152" s="33"/>
      <c r="AA152" s="33"/>
      <c r="AB152" s="34">
        <f>0</f>
        <v>0</v>
      </c>
      <c r="AC152" s="34"/>
    </row>
    <row r="153" spans="1:29" s="1" customFormat="1" ht="24" customHeight="1">
      <c r="A153" s="30" t="s">
        <v>140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1" t="s">
        <v>91</v>
      </c>
      <c r="M153" s="31"/>
      <c r="N153" s="31"/>
      <c r="O153" s="31" t="s">
        <v>205</v>
      </c>
      <c r="P153" s="31"/>
      <c r="Q153" s="31"/>
      <c r="R153" s="32" t="s">
        <v>141</v>
      </c>
      <c r="S153" s="32"/>
      <c r="T153" s="33">
        <f>29000</f>
        <v>29000</v>
      </c>
      <c r="U153" s="33"/>
      <c r="V153" s="33"/>
      <c r="W153" s="33">
        <f>29000</f>
        <v>29000</v>
      </c>
      <c r="X153" s="33"/>
      <c r="Y153" s="33"/>
      <c r="Z153" s="33"/>
      <c r="AA153" s="33"/>
      <c r="AB153" s="34">
        <f>0</f>
        <v>0</v>
      </c>
      <c r="AC153" s="34"/>
    </row>
    <row r="154" spans="1:29" s="1" customFormat="1" ht="24" customHeight="1">
      <c r="A154" s="30" t="s">
        <v>206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1" t="s">
        <v>91</v>
      </c>
      <c r="M154" s="31"/>
      <c r="N154" s="31"/>
      <c r="O154" s="31" t="s">
        <v>207</v>
      </c>
      <c r="P154" s="31"/>
      <c r="Q154" s="31"/>
      <c r="R154" s="32" t="s">
        <v>208</v>
      </c>
      <c r="S154" s="32"/>
      <c r="T154" s="33">
        <f>579876</f>
        <v>579876</v>
      </c>
      <c r="U154" s="33"/>
      <c r="V154" s="33"/>
      <c r="W154" s="33">
        <f>294766.98</f>
        <v>294766.98</v>
      </c>
      <c r="X154" s="33"/>
      <c r="Y154" s="33"/>
      <c r="Z154" s="33"/>
      <c r="AA154" s="33"/>
      <c r="AB154" s="34">
        <f>285109.02</f>
        <v>285109.02</v>
      </c>
      <c r="AC154" s="34"/>
    </row>
    <row r="155" spans="1:29" s="1" customFormat="1" ht="24" customHeight="1">
      <c r="A155" s="30" t="s">
        <v>140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1" t="s">
        <v>91</v>
      </c>
      <c r="M155" s="31"/>
      <c r="N155" s="31"/>
      <c r="O155" s="31" t="s">
        <v>209</v>
      </c>
      <c r="P155" s="31"/>
      <c r="Q155" s="31"/>
      <c r="R155" s="32" t="s">
        <v>141</v>
      </c>
      <c r="S155" s="32"/>
      <c r="T155" s="33">
        <f>30000</f>
        <v>30000</v>
      </c>
      <c r="U155" s="33"/>
      <c r="V155" s="33"/>
      <c r="W155" s="33">
        <f>1000</f>
        <v>1000</v>
      </c>
      <c r="X155" s="33"/>
      <c r="Y155" s="33"/>
      <c r="Z155" s="33"/>
      <c r="AA155" s="33"/>
      <c r="AB155" s="34">
        <f>29000</f>
        <v>29000</v>
      </c>
      <c r="AC155" s="34"/>
    </row>
    <row r="156" spans="1:29" s="1" customFormat="1" ht="15" customHeight="1">
      <c r="A156" s="36" t="s">
        <v>210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7" t="s">
        <v>211</v>
      </c>
      <c r="M156" s="37"/>
      <c r="N156" s="37"/>
      <c r="O156" s="37" t="s">
        <v>36</v>
      </c>
      <c r="P156" s="37"/>
      <c r="Q156" s="37"/>
      <c r="R156" s="38" t="s">
        <v>36</v>
      </c>
      <c r="S156" s="38"/>
      <c r="T156" s="39">
        <f>-3898184.84</f>
        <v>-3898184.84</v>
      </c>
      <c r="U156" s="39"/>
      <c r="V156" s="39"/>
      <c r="W156" s="39">
        <f>184623.62</f>
        <v>184623.62</v>
      </c>
      <c r="X156" s="39"/>
      <c r="Y156" s="39"/>
      <c r="Z156" s="39"/>
      <c r="AA156" s="39"/>
      <c r="AB156" s="40" t="s">
        <v>36</v>
      </c>
      <c r="AC156" s="40"/>
    </row>
    <row r="157" spans="1:29" s="1" customFormat="1" ht="13.5" customHeight="1">
      <c r="A157" s="10" t="s">
        <v>10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s="1" customFormat="1" ht="13.5" customHeight="1">
      <c r="A158" s="12" t="s">
        <v>212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</row>
    <row r="159" spans="1:29" s="1" customFormat="1" ht="45.75" customHeight="1">
      <c r="A159" s="13" t="s">
        <v>22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 t="s">
        <v>23</v>
      </c>
      <c r="N159" s="13"/>
      <c r="O159" s="13"/>
      <c r="P159" s="13" t="s">
        <v>213</v>
      </c>
      <c r="Q159" s="13"/>
      <c r="R159" s="13"/>
      <c r="S159" s="14" t="s">
        <v>25</v>
      </c>
      <c r="T159" s="14"/>
      <c r="U159" s="14"/>
      <c r="V159" s="14" t="s">
        <v>26</v>
      </c>
      <c r="W159" s="14"/>
      <c r="X159" s="14"/>
      <c r="Y159" s="14"/>
      <c r="Z159" s="14"/>
      <c r="AA159" s="15" t="s">
        <v>27</v>
      </c>
      <c r="AB159" s="15"/>
      <c r="AC159" s="15"/>
    </row>
    <row r="160" spans="1:29" s="1" customFormat="1" ht="12.75" customHeight="1">
      <c r="A160" s="16" t="s">
        <v>28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 t="s">
        <v>29</v>
      </c>
      <c r="N160" s="16"/>
      <c r="O160" s="16"/>
      <c r="P160" s="16" t="s">
        <v>30</v>
      </c>
      <c r="Q160" s="16"/>
      <c r="R160" s="16"/>
      <c r="S160" s="17" t="s">
        <v>31</v>
      </c>
      <c r="T160" s="17"/>
      <c r="U160" s="17"/>
      <c r="V160" s="17" t="s">
        <v>32</v>
      </c>
      <c r="W160" s="17"/>
      <c r="X160" s="17"/>
      <c r="Y160" s="17"/>
      <c r="Z160" s="17"/>
      <c r="AA160" s="18" t="s">
        <v>33</v>
      </c>
      <c r="AB160" s="18"/>
      <c r="AC160" s="18"/>
    </row>
    <row r="161" spans="1:29" s="1" customFormat="1" ht="13.5" customHeight="1">
      <c r="A161" s="19" t="s">
        <v>214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 t="s">
        <v>215</v>
      </c>
      <c r="N161" s="20"/>
      <c r="O161" s="20"/>
      <c r="P161" s="20" t="s">
        <v>36</v>
      </c>
      <c r="Q161" s="20"/>
      <c r="R161" s="20"/>
      <c r="S161" s="41">
        <f>3898184.84</f>
        <v>3898184.84</v>
      </c>
      <c r="T161" s="41"/>
      <c r="U161" s="41"/>
      <c r="V161" s="21">
        <f>-184623.62</f>
        <v>-184623.62</v>
      </c>
      <c r="W161" s="21"/>
      <c r="X161" s="21"/>
      <c r="Y161" s="21"/>
      <c r="Z161" s="21"/>
      <c r="AA161" s="42" t="s">
        <v>36</v>
      </c>
      <c r="AB161" s="42"/>
      <c r="AC161" s="42"/>
    </row>
    <row r="162" spans="1:29" s="1" customFormat="1" ht="13.5" customHeight="1">
      <c r="A162" s="43" t="s">
        <v>216</v>
      </c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4" t="s">
        <v>10</v>
      </c>
      <c r="N162" s="44"/>
      <c r="O162" s="44"/>
      <c r="P162" s="44" t="s">
        <v>10</v>
      </c>
      <c r="Q162" s="44"/>
      <c r="R162" s="44"/>
      <c r="S162" s="45" t="s">
        <v>10</v>
      </c>
      <c r="T162" s="45"/>
      <c r="U162" s="45"/>
      <c r="V162" s="46" t="s">
        <v>10</v>
      </c>
      <c r="W162" s="46"/>
      <c r="X162" s="46"/>
      <c r="Y162" s="46"/>
      <c r="Z162" s="46"/>
      <c r="AA162" s="47" t="s">
        <v>10</v>
      </c>
      <c r="AB162" s="47"/>
      <c r="AC162" s="47"/>
    </row>
    <row r="163" spans="1:29" s="1" customFormat="1" ht="13.5" customHeight="1">
      <c r="A163" s="23" t="s">
        <v>217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48" t="s">
        <v>218</v>
      </c>
      <c r="N163" s="48"/>
      <c r="O163" s="48"/>
      <c r="P163" s="24" t="s">
        <v>36</v>
      </c>
      <c r="Q163" s="24"/>
      <c r="R163" s="24"/>
      <c r="S163" s="49" t="s">
        <v>39</v>
      </c>
      <c r="T163" s="49"/>
      <c r="U163" s="49"/>
      <c r="V163" s="50" t="s">
        <v>39</v>
      </c>
      <c r="W163" s="50"/>
      <c r="X163" s="50"/>
      <c r="Y163" s="50"/>
      <c r="Z163" s="50"/>
      <c r="AA163" s="51" t="s">
        <v>39</v>
      </c>
      <c r="AB163" s="51"/>
      <c r="AC163" s="51"/>
    </row>
    <row r="164" spans="1:29" s="1" customFormat="1" ht="13.5" customHeight="1">
      <c r="A164" s="32" t="s">
        <v>10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</row>
    <row r="165" spans="1:29" s="1" customFormat="1" ht="13.5" customHeight="1">
      <c r="A165" s="30" t="s">
        <v>219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44" t="s">
        <v>220</v>
      </c>
      <c r="N165" s="44"/>
      <c r="O165" s="44"/>
      <c r="P165" s="44" t="s">
        <v>36</v>
      </c>
      <c r="Q165" s="44"/>
      <c r="R165" s="44"/>
      <c r="S165" s="45" t="s">
        <v>39</v>
      </c>
      <c r="T165" s="45"/>
      <c r="U165" s="45"/>
      <c r="V165" s="35" t="s">
        <v>39</v>
      </c>
      <c r="W165" s="35"/>
      <c r="X165" s="35"/>
      <c r="Y165" s="35"/>
      <c r="Z165" s="35"/>
      <c r="AA165" s="47" t="s">
        <v>39</v>
      </c>
      <c r="AB165" s="47"/>
      <c r="AC165" s="47"/>
    </row>
    <row r="166" spans="1:29" s="1" customFormat="1" ht="13.5" customHeight="1">
      <c r="A166" s="30" t="s">
        <v>10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1" t="s">
        <v>220</v>
      </c>
      <c r="N166" s="31"/>
      <c r="O166" s="31"/>
      <c r="P166" s="31" t="s">
        <v>10</v>
      </c>
      <c r="Q166" s="31"/>
      <c r="R166" s="31"/>
      <c r="S166" s="52" t="s">
        <v>39</v>
      </c>
      <c r="T166" s="52"/>
      <c r="U166" s="52"/>
      <c r="V166" s="35" t="s">
        <v>39</v>
      </c>
      <c r="W166" s="35"/>
      <c r="X166" s="35"/>
      <c r="Y166" s="35"/>
      <c r="Z166" s="35"/>
      <c r="AA166" s="53" t="s">
        <v>39</v>
      </c>
      <c r="AB166" s="53"/>
      <c r="AC166" s="53"/>
    </row>
    <row r="167" spans="1:29" s="1" customFormat="1" ht="13.5" customHeight="1">
      <c r="A167" s="30" t="s">
        <v>221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1" t="s">
        <v>222</v>
      </c>
      <c r="N167" s="31"/>
      <c r="O167" s="31"/>
      <c r="P167" s="31" t="s">
        <v>223</v>
      </c>
      <c r="Q167" s="31"/>
      <c r="R167" s="31"/>
      <c r="S167" s="54">
        <f>3898184.84</f>
        <v>3898184.84</v>
      </c>
      <c r="T167" s="54"/>
      <c r="U167" s="54"/>
      <c r="V167" s="33">
        <f>-184623.62</f>
        <v>-184623.62</v>
      </c>
      <c r="W167" s="33"/>
      <c r="X167" s="33"/>
      <c r="Y167" s="33"/>
      <c r="Z167" s="33"/>
      <c r="AA167" s="55">
        <f>4082808.46</f>
        <v>4082808.46</v>
      </c>
      <c r="AB167" s="55"/>
      <c r="AC167" s="55"/>
    </row>
    <row r="168" spans="1:29" s="1" customFormat="1" ht="13.5" customHeight="1">
      <c r="A168" s="30" t="s">
        <v>224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1" t="s">
        <v>225</v>
      </c>
      <c r="N168" s="31"/>
      <c r="O168" s="31"/>
      <c r="P168" s="31" t="s">
        <v>226</v>
      </c>
      <c r="Q168" s="31"/>
      <c r="R168" s="31"/>
      <c r="S168" s="54">
        <f>-50479144.81</f>
        <v>-50479144.81</v>
      </c>
      <c r="T168" s="54"/>
      <c r="U168" s="54"/>
      <c r="V168" s="33">
        <f>-25290022.9</f>
        <v>-25290022.9</v>
      </c>
      <c r="W168" s="33"/>
      <c r="X168" s="33"/>
      <c r="Y168" s="33"/>
      <c r="Z168" s="33"/>
      <c r="AA168" s="56" t="s">
        <v>36</v>
      </c>
      <c r="AB168" s="56"/>
      <c r="AC168" s="56"/>
    </row>
    <row r="169" spans="1:29" s="1" customFormat="1" ht="13.5" customHeight="1">
      <c r="A169" s="30" t="s">
        <v>227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1" t="s">
        <v>228</v>
      </c>
      <c r="N169" s="31"/>
      <c r="O169" s="31"/>
      <c r="P169" s="31" t="s">
        <v>229</v>
      </c>
      <c r="Q169" s="31"/>
      <c r="R169" s="31"/>
      <c r="S169" s="54">
        <f>54377329.65</f>
        <v>54377329.65</v>
      </c>
      <c r="T169" s="54"/>
      <c r="U169" s="54"/>
      <c r="V169" s="33">
        <f>25105399.28</f>
        <v>25105399.28</v>
      </c>
      <c r="W169" s="33"/>
      <c r="X169" s="33"/>
      <c r="Y169" s="33"/>
      <c r="Z169" s="33"/>
      <c r="AA169" s="56" t="s">
        <v>36</v>
      </c>
      <c r="AB169" s="56"/>
      <c r="AC169" s="56"/>
    </row>
    <row r="170" spans="1:29" s="1" customFormat="1" ht="13.5" customHeight="1">
      <c r="A170" s="57" t="s">
        <v>10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</row>
    <row r="171" spans="1:29" s="1" customFormat="1" ht="13.5" customHeight="1">
      <c r="A171" s="10" t="s">
        <v>230</v>
      </c>
      <c r="B171" s="10"/>
      <c r="C171" s="10"/>
      <c r="D171" s="10"/>
      <c r="E171" s="10"/>
      <c r="F171" s="10"/>
      <c r="G171" s="10"/>
      <c r="H171" s="10"/>
      <c r="I171" s="58" t="s">
        <v>10</v>
      </c>
      <c r="J171" s="58"/>
      <c r="K171" s="58"/>
      <c r="L171" s="58"/>
      <c r="M171" s="58"/>
      <c r="N171" s="58"/>
      <c r="O171" s="58"/>
      <c r="P171" s="58" t="s">
        <v>231</v>
      </c>
      <c r="Q171" s="58"/>
      <c r="R171" s="58"/>
      <c r="S171" s="58"/>
      <c r="T171" s="58"/>
      <c r="U171" s="10" t="s">
        <v>10</v>
      </c>
      <c r="V171" s="10"/>
      <c r="W171" s="10"/>
      <c r="X171" s="10"/>
      <c r="Y171" s="10"/>
      <c r="Z171" s="10"/>
      <c r="AA171" s="10"/>
      <c r="AB171" s="10"/>
      <c r="AC171" s="10"/>
    </row>
    <row r="172" spans="1:29" s="1" customFormat="1" ht="13.5" customHeight="1">
      <c r="A172" s="10" t="s">
        <v>10</v>
      </c>
      <c r="B172" s="10"/>
      <c r="C172" s="10"/>
      <c r="D172" s="10"/>
      <c r="E172" s="10"/>
      <c r="F172" s="10"/>
      <c r="G172" s="10"/>
      <c r="H172" s="10"/>
      <c r="I172" s="5" t="s">
        <v>10</v>
      </c>
      <c r="J172" s="59" t="s">
        <v>232</v>
      </c>
      <c r="K172" s="59"/>
      <c r="L172" s="59"/>
      <c r="M172" s="59"/>
      <c r="N172" s="10" t="s">
        <v>10</v>
      </c>
      <c r="O172" s="10"/>
      <c r="P172" s="5" t="s">
        <v>10</v>
      </c>
      <c r="Q172" s="59" t="s">
        <v>233</v>
      </c>
      <c r="R172" s="59"/>
      <c r="S172" s="59"/>
      <c r="T172" s="10" t="s">
        <v>10</v>
      </c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s="1" customFormat="1" ht="7.5" customHeight="1">
      <c r="A173" s="10" t="s">
        <v>10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s="1" customFormat="1" ht="24" customHeight="1">
      <c r="A174" s="10" t="s">
        <v>234</v>
      </c>
      <c r="B174" s="10"/>
      <c r="C174" s="10"/>
      <c r="D174" s="10"/>
      <c r="E174" s="10"/>
      <c r="F174" s="10"/>
      <c r="G174" s="10"/>
      <c r="H174" s="10"/>
      <c r="I174" s="58" t="s">
        <v>10</v>
      </c>
      <c r="J174" s="58"/>
      <c r="K174" s="58"/>
      <c r="L174" s="58"/>
      <c r="M174" s="58"/>
      <c r="N174" s="58"/>
      <c r="O174" s="58"/>
      <c r="P174" s="58" t="s">
        <v>235</v>
      </c>
      <c r="Q174" s="58"/>
      <c r="R174" s="58"/>
      <c r="S174" s="58"/>
      <c r="T174" s="58"/>
      <c r="U174" s="10" t="s">
        <v>10</v>
      </c>
      <c r="V174" s="10"/>
      <c r="W174" s="10"/>
      <c r="X174" s="10"/>
      <c r="Y174" s="10"/>
      <c r="Z174" s="10"/>
      <c r="AA174" s="10"/>
      <c r="AB174" s="10"/>
      <c r="AC174" s="10"/>
    </row>
    <row r="175" spans="1:29" s="1" customFormat="1" ht="13.5" customHeight="1">
      <c r="A175" s="10" t="s">
        <v>10</v>
      </c>
      <c r="B175" s="10"/>
      <c r="C175" s="10"/>
      <c r="D175" s="10"/>
      <c r="E175" s="10"/>
      <c r="F175" s="10"/>
      <c r="G175" s="10"/>
      <c r="H175" s="10"/>
      <c r="I175" s="5" t="s">
        <v>10</v>
      </c>
      <c r="J175" s="59" t="s">
        <v>232</v>
      </c>
      <c r="K175" s="59"/>
      <c r="L175" s="59"/>
      <c r="M175" s="59"/>
      <c r="N175" s="10" t="s">
        <v>10</v>
      </c>
      <c r="O175" s="10"/>
      <c r="P175" s="5" t="s">
        <v>10</v>
      </c>
      <c r="Q175" s="59" t="s">
        <v>233</v>
      </c>
      <c r="R175" s="59"/>
      <c r="S175" s="59"/>
      <c r="T175" s="10" t="s">
        <v>10</v>
      </c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s="1" customFormat="1" ht="7.5" customHeight="1">
      <c r="A176" s="10" t="s">
        <v>10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s="1" customFormat="1" ht="33.75" customHeight="1">
      <c r="A177" s="10" t="s">
        <v>236</v>
      </c>
      <c r="B177" s="10"/>
      <c r="C177" s="58" t="s">
        <v>234</v>
      </c>
      <c r="D177" s="58"/>
      <c r="E177" s="58"/>
      <c r="F177" s="58"/>
      <c r="G177" s="58"/>
      <c r="H177" s="58"/>
      <c r="I177" s="58" t="s">
        <v>10</v>
      </c>
      <c r="J177" s="58"/>
      <c r="K177" s="58"/>
      <c r="L177" s="58"/>
      <c r="M177" s="58"/>
      <c r="N177" s="58"/>
      <c r="O177" s="58"/>
      <c r="P177" s="58" t="s">
        <v>235</v>
      </c>
      <c r="Q177" s="58"/>
      <c r="R177" s="58"/>
      <c r="S177" s="58"/>
      <c r="T177" s="58"/>
      <c r="U177" s="10" t="s">
        <v>10</v>
      </c>
      <c r="V177" s="10"/>
      <c r="W177" s="10"/>
      <c r="X177" s="10"/>
      <c r="Y177" s="10"/>
      <c r="Z177" s="10"/>
      <c r="AA177" s="10"/>
      <c r="AB177" s="10"/>
      <c r="AC177" s="10"/>
    </row>
    <row r="178" spans="1:29" s="1" customFormat="1" ht="13.5" customHeight="1">
      <c r="A178" s="10" t="s">
        <v>10</v>
      </c>
      <c r="B178" s="10"/>
      <c r="C178" s="5" t="s">
        <v>10</v>
      </c>
      <c r="D178" s="59" t="s">
        <v>237</v>
      </c>
      <c r="E178" s="59"/>
      <c r="F178" s="59"/>
      <c r="G178" s="59"/>
      <c r="H178" s="5" t="s">
        <v>10</v>
      </c>
      <c r="I178" s="5" t="s">
        <v>10</v>
      </c>
      <c r="J178" s="59" t="s">
        <v>232</v>
      </c>
      <c r="K178" s="59"/>
      <c r="L178" s="59"/>
      <c r="M178" s="59"/>
      <c r="N178" s="10" t="s">
        <v>10</v>
      </c>
      <c r="O178" s="10"/>
      <c r="P178" s="5" t="s">
        <v>10</v>
      </c>
      <c r="Q178" s="59" t="s">
        <v>233</v>
      </c>
      <c r="R178" s="59"/>
      <c r="S178" s="59"/>
      <c r="T178" s="10" t="s">
        <v>10</v>
      </c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s="1" customFormat="1" ht="15.75" customHeight="1">
      <c r="A179" s="10" t="s">
        <v>10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s="1" customFormat="1" ht="13.5" customHeight="1">
      <c r="A180" s="60" t="s">
        <v>238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10" t="s">
        <v>10</v>
      </c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s="1" customFormat="1" ht="13.5" customHeight="1">
      <c r="A181" s="9" t="s">
        <v>239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</sheetData>
  <sheetProtection/>
  <mergeCells count="1105">
    <mergeCell ref="A179:AC179"/>
    <mergeCell ref="A180:J180"/>
    <mergeCell ref="K180:AC180"/>
    <mergeCell ref="A181:AC181"/>
    <mergeCell ref="A178:B178"/>
    <mergeCell ref="D178:G178"/>
    <mergeCell ref="J178:M178"/>
    <mergeCell ref="N178:O178"/>
    <mergeCell ref="Q178:S178"/>
    <mergeCell ref="T178:AC178"/>
    <mergeCell ref="A176:AC176"/>
    <mergeCell ref="A177:B177"/>
    <mergeCell ref="C177:H177"/>
    <mergeCell ref="I177:O177"/>
    <mergeCell ref="P177:T177"/>
    <mergeCell ref="U177:AC177"/>
    <mergeCell ref="A173:AC173"/>
    <mergeCell ref="A174:H174"/>
    <mergeCell ref="I174:O174"/>
    <mergeCell ref="P174:T174"/>
    <mergeCell ref="U174:AC174"/>
    <mergeCell ref="A175:H175"/>
    <mergeCell ref="J175:M175"/>
    <mergeCell ref="N175:O175"/>
    <mergeCell ref="Q175:S175"/>
    <mergeCell ref="T175:AC175"/>
    <mergeCell ref="A170:AC170"/>
    <mergeCell ref="A171:H171"/>
    <mergeCell ref="I171:O171"/>
    <mergeCell ref="P171:T171"/>
    <mergeCell ref="U171:AC171"/>
    <mergeCell ref="A172:H172"/>
    <mergeCell ref="J172:M172"/>
    <mergeCell ref="N172:O172"/>
    <mergeCell ref="Q172:S172"/>
    <mergeCell ref="T172:AC172"/>
    <mergeCell ref="A169:L169"/>
    <mergeCell ref="M169:O169"/>
    <mergeCell ref="P169:R169"/>
    <mergeCell ref="S169:U169"/>
    <mergeCell ref="V169:Z169"/>
    <mergeCell ref="AA169:AC169"/>
    <mergeCell ref="A168:L168"/>
    <mergeCell ref="M168:O168"/>
    <mergeCell ref="P168:R168"/>
    <mergeCell ref="S168:U168"/>
    <mergeCell ref="V168:Z168"/>
    <mergeCell ref="AA168:AC168"/>
    <mergeCell ref="A167:L167"/>
    <mergeCell ref="M167:O167"/>
    <mergeCell ref="P167:R167"/>
    <mergeCell ref="S167:U167"/>
    <mergeCell ref="V167:Z167"/>
    <mergeCell ref="AA167:AC167"/>
    <mergeCell ref="A166:L166"/>
    <mergeCell ref="M166:O166"/>
    <mergeCell ref="P166:R166"/>
    <mergeCell ref="S166:U166"/>
    <mergeCell ref="V166:Z166"/>
    <mergeCell ref="AA166:AC166"/>
    <mergeCell ref="A164:AC164"/>
    <mergeCell ref="A165:L165"/>
    <mergeCell ref="M165:O165"/>
    <mergeCell ref="P165:R165"/>
    <mergeCell ref="S165:U165"/>
    <mergeCell ref="V165:Z165"/>
    <mergeCell ref="AA165:AC165"/>
    <mergeCell ref="A163:L163"/>
    <mergeCell ref="M163:O163"/>
    <mergeCell ref="P163:R163"/>
    <mergeCell ref="S163:U163"/>
    <mergeCell ref="V163:Z163"/>
    <mergeCell ref="AA163:AC163"/>
    <mergeCell ref="A162:L162"/>
    <mergeCell ref="M162:O162"/>
    <mergeCell ref="P162:R162"/>
    <mergeCell ref="S162:U162"/>
    <mergeCell ref="V162:Z162"/>
    <mergeCell ref="AA162:AC162"/>
    <mergeCell ref="A161:L161"/>
    <mergeCell ref="M161:O161"/>
    <mergeCell ref="P161:R161"/>
    <mergeCell ref="S161:U161"/>
    <mergeCell ref="V161:Z161"/>
    <mergeCell ref="AA161:AC161"/>
    <mergeCell ref="A160:L160"/>
    <mergeCell ref="M160:O160"/>
    <mergeCell ref="P160:R160"/>
    <mergeCell ref="S160:U160"/>
    <mergeCell ref="V160:Z160"/>
    <mergeCell ref="AA160:AC160"/>
    <mergeCell ref="AB156:AC156"/>
    <mergeCell ref="A157:AC157"/>
    <mergeCell ref="A158:AC158"/>
    <mergeCell ref="A159:L159"/>
    <mergeCell ref="M159:O159"/>
    <mergeCell ref="P159:R159"/>
    <mergeCell ref="S159:U159"/>
    <mergeCell ref="V159:Z159"/>
    <mergeCell ref="AA159:AC159"/>
    <mergeCell ref="A156:K156"/>
    <mergeCell ref="L156:N156"/>
    <mergeCell ref="O156:Q156"/>
    <mergeCell ref="R156:S156"/>
    <mergeCell ref="T156:V156"/>
    <mergeCell ref="W156:AA156"/>
    <mergeCell ref="AB154:AC154"/>
    <mergeCell ref="A155:K155"/>
    <mergeCell ref="L155:N155"/>
    <mergeCell ref="O155:Q155"/>
    <mergeCell ref="R155:S155"/>
    <mergeCell ref="T155:V155"/>
    <mergeCell ref="W155:AA155"/>
    <mergeCell ref="AB155:AC155"/>
    <mergeCell ref="A154:K154"/>
    <mergeCell ref="L154:N154"/>
    <mergeCell ref="O154:Q154"/>
    <mergeCell ref="R154:S154"/>
    <mergeCell ref="T154:V154"/>
    <mergeCell ref="W154:AA154"/>
    <mergeCell ref="AB152:AC152"/>
    <mergeCell ref="A153:K153"/>
    <mergeCell ref="L153:N153"/>
    <mergeCell ref="O153:Q153"/>
    <mergeCell ref="R153:S153"/>
    <mergeCell ref="T153:V153"/>
    <mergeCell ref="W153:AA153"/>
    <mergeCell ref="AB153:AC153"/>
    <mergeCell ref="A152:K152"/>
    <mergeCell ref="L152:N152"/>
    <mergeCell ref="O152:Q152"/>
    <mergeCell ref="R152:S152"/>
    <mergeCell ref="T152:V152"/>
    <mergeCell ref="W152:AA152"/>
    <mergeCell ref="AB150:AC150"/>
    <mergeCell ref="A151:K151"/>
    <mergeCell ref="L151:N151"/>
    <mergeCell ref="O151:Q151"/>
    <mergeCell ref="R151:S151"/>
    <mergeCell ref="T151:V151"/>
    <mergeCell ref="W151:AA151"/>
    <mergeCell ref="AB151:AC151"/>
    <mergeCell ref="A150:K150"/>
    <mergeCell ref="L150:N150"/>
    <mergeCell ref="O150:Q150"/>
    <mergeCell ref="R150:S150"/>
    <mergeCell ref="T150:V150"/>
    <mergeCell ref="W150:AA150"/>
    <mergeCell ref="AB148:AC148"/>
    <mergeCell ref="A149:K149"/>
    <mergeCell ref="L149:N149"/>
    <mergeCell ref="O149:Q149"/>
    <mergeCell ref="R149:S149"/>
    <mergeCell ref="T149:V149"/>
    <mergeCell ref="W149:AA149"/>
    <mergeCell ref="AB149:AC149"/>
    <mergeCell ref="A148:K148"/>
    <mergeCell ref="L148:N148"/>
    <mergeCell ref="O148:Q148"/>
    <mergeCell ref="R148:S148"/>
    <mergeCell ref="T148:V148"/>
    <mergeCell ref="W148:AA148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6:K146"/>
    <mergeCell ref="L146:N146"/>
    <mergeCell ref="O146:Q146"/>
    <mergeCell ref="R146:S146"/>
    <mergeCell ref="T146:V146"/>
    <mergeCell ref="W146:AA146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4:K144"/>
    <mergeCell ref="L144:N144"/>
    <mergeCell ref="O144:Q144"/>
    <mergeCell ref="R144:S144"/>
    <mergeCell ref="T144:V144"/>
    <mergeCell ref="W144:AA144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2:K142"/>
    <mergeCell ref="L142:N142"/>
    <mergeCell ref="O142:Q142"/>
    <mergeCell ref="R142:S142"/>
    <mergeCell ref="T142:V142"/>
    <mergeCell ref="W142:AA142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0:K140"/>
    <mergeCell ref="L140:N140"/>
    <mergeCell ref="O140:Q140"/>
    <mergeCell ref="R140:S140"/>
    <mergeCell ref="T140:V140"/>
    <mergeCell ref="W140:AA140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O40:Q40"/>
    <mergeCell ref="R40:S40"/>
    <mergeCell ref="T40:V40"/>
    <mergeCell ref="W40:AA40"/>
    <mergeCell ref="A37:AC37"/>
    <mergeCell ref="A38:AC38"/>
    <mergeCell ref="A39:K39"/>
    <mergeCell ref="L39:N39"/>
    <mergeCell ref="O39:Q39"/>
    <mergeCell ref="R39:S39"/>
    <mergeCell ref="T39:V39"/>
    <mergeCell ref="W39:AA39"/>
    <mergeCell ref="AB39:AC39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5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/>
  <cp:lastModifiedBy>Анастасия Шепелина</cp:lastModifiedBy>
  <dcterms:created xsi:type="dcterms:W3CDTF">2024-03-28T05:44:39Z</dcterms:created>
  <dcterms:modified xsi:type="dcterms:W3CDTF">2024-03-28T05:44:39Z</dcterms:modified>
  <cp:category/>
  <cp:version/>
  <cp:contentType/>
  <cp:contentStatus/>
</cp:coreProperties>
</file>