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<sst xmlns="http://schemas.openxmlformats.org/spreadsheetml/2006/main" count="950" uniqueCount="278">
  <si>
    <t>ОТЧЕТ ОБ ИСПОЛНЕНИИ БЮДЖЕТА</t>
  </si>
  <si>
    <t>КОДЫ</t>
  </si>
  <si>
    <t xml:space="preserve">Форма по ОКУД </t>
  </si>
  <si>
    <t>0503117</t>
  </si>
  <si>
    <t>на 1 января 2022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</si>
  <si>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</si>
  <si>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</si>
  <si>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</si>
  <si>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</si>
  <si>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</si>
  <si>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</si>
  <si>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</si>
  <si>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</si>
  <si>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</si>
  <si>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</si>
  <si>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</si>
  <si>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</si>
  <si>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</si>
  <si>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</si>
  <si>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</si>
  <si>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</si>
  <si>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</si>
  <si>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</si>
  <si>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</si>
  <si>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</si>
  <si>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</si>
  <si>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</si>
  <si>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</si>
  <si>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</si>
  <si>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</si>
  <si>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</si>
  <si>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</si>
  <si>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</si>
  <si>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</si>
  <si>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</si>
  <si>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</si>
  <si>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</si>
  <si>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</si>
  <si>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</si>
  <si>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</si>
  <si>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</si>
  <si>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</si>
  <si>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</si>
  <si>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</si>
  <si>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</si>
  <si>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</si>
  <si>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</si>
  <si>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</si>
  <si>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</si>
  <si>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</si>
  <si>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</si>
  <si>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</si>
  <si>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</si>
  <si>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</si>
  <si>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</si>
  <si>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</si>
  <si>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</si>
  <si>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</si>
  <si>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</si>
  <si>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</si>
  <si>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</si>
  <si>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</si>
  <si>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</si>
  <si>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</si>
  <si>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</si>
  <si>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</si>
  <si>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</si>
  <si>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</si>
  <si>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</si>
  <si>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</si>
  <si>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</si>
  <si>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</si>
  <si>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</si>
  <si>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</si>
  <si>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</si>
  <si>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</si>
  <si>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</si>
  <si>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</si>
  <si>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</si>
  <si>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</si>
  <si>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</si>
  <si>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</si>
  <si>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Невыясненные поступления, зачисляемые в бюджеты городских поселений</t>
  </si>
  <si>
    <t>650 11701050 13 0000 180</t>
  </si>
  <si>
    <t>Прочие неналоговые доходы бюджетов городских поселений</t>
  </si>
  <si>
    <t>650 11705050 13 0000 180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</si>
  <si>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</si>
  <si>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</si>
  <si>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</si>
  <si>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</si>
  <si>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</si>
  <si>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</si>
  <si>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</si>
  <si>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</si>
  <si>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</si>
  <si>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</si>
  <si>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</si>
  <si>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</si>
  <si>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</si>
  <si>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</si>
  <si>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</si>
  <si>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</si>
  <si>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</si>
  <si>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</si>
  <si>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</si>
  <si>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</si>
  <si>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</si>
  <si>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</si>
  <si>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</si>
  <si>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</si>
  <si>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</si>
  <si>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</si>
  <si>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</si>
  <si>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</si>
  <si>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650 0104 1041202040 122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</si>
  <si>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</si>
  <si>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</si>
  <si>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</si>
  <si>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</si>
  <si>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</si>
  <si>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</si>
  <si>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</si>
  <si>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</si>
  <si>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</si>
  <si>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</si>
  <si>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</si>
  <si>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650 0113 1014202400 244</t>
  </si>
  <si>
    <t>650 0113 1014400590 244</t>
  </si>
  <si>
    <t>650 0113 1014402400 244</t>
  </si>
  <si>
    <t>650 0113 1014502400 244</t>
  </si>
  <si>
    <t>Увеличение стоимости прочих материальных запасов однократного применения</t>
  </si>
  <si>
    <t>650 0113 1014802400 244</t>
  </si>
  <si>
    <t>349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</si>
  <si>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</si>
  <si>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</si>
  <si>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</si>
  <si>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</si>
  <si>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</si>
  <si>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</si>
  <si>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</si>
  <si>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</si>
  <si>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</si>
  <si>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</si>
  <si>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</si>
  <si>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</si>
  <si>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</si>
  <si>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</si>
  <si>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</si>
  <si>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</si>
  <si>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</si>
  <si>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</si>
  <si>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</si>
  <si>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</si>
  <si>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650 0113 1041400590 247</t>
  </si>
  <si>
    <t>650 0113 1041402400 244</t>
  </si>
  <si>
    <t>Страхование</t>
  </si>
  <si>
    <t>227</t>
  </si>
  <si>
    <t>Увеличение стоимости нематериальных активов</t>
  </si>
  <si>
    <t>320</t>
  </si>
  <si>
    <t>Налоги, пошлины и сборы</t>
  </si>
  <si>
    <t>650 0113 1041402400 851</t>
  </si>
  <si>
    <t>291</t>
  </si>
  <si>
    <t>650 0113 1041402400 852</t>
  </si>
  <si>
    <t>Транспортные услуги</t>
  </si>
  <si>
    <t>650 0113 6000002400 244</t>
  </si>
  <si>
    <t>222</t>
  </si>
  <si>
    <t>Другие экономические санкции</t>
  </si>
  <si>
    <t>650 0113 6000002400 853</t>
  </si>
  <si>
    <t>295</t>
  </si>
  <si>
    <t>650 0113 6000079990 244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</si>
  <si>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</si>
  <si>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</si>
  <si>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650 0203 1043151180 121</t>
  </si>
  <si>
    <t>Прочие несоциальные выплаты персоналу в денежной форме</t>
  </si>
  <si>
    <t>650 0203 1043151180 122</t>
  </si>
  <si>
    <t>212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</si>
  <si>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</si>
  <si>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</si>
  <si>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</si>
  <si>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</si>
  <si>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</si>
  <si>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650 0310 1522300590 244</t>
  </si>
  <si>
    <t>650 0314 1211500590 244</t>
  </si>
  <si>
    <t>650 0314 1212702400 244</t>
  </si>
  <si>
    <t>650 0314 1221182300 123</t>
  </si>
  <si>
    <t>650 0314 1221182300 244</t>
  </si>
  <si>
    <t>650 0314 12211S2300 123</t>
  </si>
  <si>
    <t>650 0314 12211S2300 244</t>
  </si>
  <si>
    <t>650 0401 1042175060 111</t>
  </si>
  <si>
    <t>650 0401 1042175060 119</t>
  </si>
  <si>
    <t>650 0401 1042185060 111</t>
  </si>
  <si>
    <t>650 0401 1042185060 119</t>
  </si>
  <si>
    <t>650 0401 1042195060 111</t>
  </si>
  <si>
    <t>650 0401 1042195060 119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</si>
  <si>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</si>
  <si>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</si>
  <si>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</si>
  <si>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</si>
  <si>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</si>
  <si>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</si>
  <si>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</si>
  <si>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650 0409 1111492400 247</t>
  </si>
  <si>
    <t>650 0409 1111589190 244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</si>
  <si>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</si>
  <si>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</si>
  <si>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</si>
  <si>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</si>
  <si>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</si>
  <si>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650 0501 1321102400 244</t>
  </si>
  <si>
    <t>650 0501 1341102400 244</t>
  </si>
  <si>
    <t>650 0501 1351102400 244</t>
  </si>
  <si>
    <t>650 0501 1351102400 247</t>
  </si>
  <si>
    <t>650 0501 1351302400 244</t>
  </si>
  <si>
    <t>650 0501 6000002400 244</t>
  </si>
  <si>
    <t>650 0502 1361202400 244</t>
  </si>
  <si>
    <t>650 0503 1421500590 244</t>
  </si>
  <si>
    <t>650 0503 1421600590 244</t>
  </si>
  <si>
    <t>650 0503 1431100590 244</t>
  </si>
  <si>
    <t>650 0503 1431200590 244</t>
  </si>
  <si>
    <t>Увеличение стоимости материальных запасов для целей капитальных вложений</t>
  </si>
  <si>
    <t>347</t>
  </si>
  <si>
    <t>650 0503 1431300590 244</t>
  </si>
  <si>
    <t>650 0503 1431400590 244</t>
  </si>
  <si>
    <t>650 0503 1432200590 244</t>
  </si>
  <si>
    <t>650 0505 1041202040 540</t>
  </si>
  <si>
    <t>650 0707 0913100590 111</t>
  </si>
  <si>
    <t>650 0707 0913100590 119</t>
  </si>
  <si>
    <t>650 0707 1042170145 111</t>
  </si>
  <si>
    <t>650 0707 1042170145 119</t>
  </si>
  <si>
    <t>650 0707 1042170145 244</t>
  </si>
  <si>
    <t>650 0801 0911200590 244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</si>
  <si>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</si>
  <si>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</si>
  <si>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</si>
  <si>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</si>
  <si>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</si>
  <si>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</si>
  <si>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</si>
  <si>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</si>
  <si>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650 0801 0913100590 247</t>
  </si>
  <si>
    <t>650 0801 0913272580 111</t>
  </si>
  <si>
    <t>650 0801 0913272580 119</t>
  </si>
  <si>
    <t>650 0801 0921100590 244</t>
  </si>
  <si>
    <t>650 0801 0921170050 244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</si>
  <si>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</si>
  <si>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</si>
  <si>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</si>
  <si>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</si>
  <si>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</si>
  <si>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</si>
  <si>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</si>
  <si>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</si>
  <si>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</si>
  <si>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</si>
  <si>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</si>
  <si>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</si>
  <si>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</si>
  <si>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</si>
  <si>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</si>
  <si>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</si>
  <si>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</si>
  <si>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</si>
  <si>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</si>
  <si>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</si>
  <si>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</si>
  <si>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</si>
  <si>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</si>
  <si>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</si>
  <si>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</si>
  <si>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</si>
  <si>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</si>
  <si>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</si>
  <si>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</si>
  <si>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</si>
  <si>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</si>
  <si>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</si>
  <si>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23 марта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</si>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</sst>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31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44562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52021865.08</f>
        <v>52021865.08</v>
      </c>
      <c r="T12" s="21"/>
      <c r="U12" s="21"/>
      <c r="V12" s="21">
        <f>52092520.41</f>
        <v>52092520.41</v>
      </c>
      <c r="W12" s="21"/>
      <c r="X12" s="21"/>
      <c r="Y12" s="21"/>
      <c r="Z12" s="21"/>
      <c r="AA12" s="22" t="s">
        <v>37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39</v>
      </c>
      <c r="Q13" s="24"/>
      <c r="R13" s="24"/>
      <c r="S13" s="25">
        <f>210000</f>
        <v>210000</v>
      </c>
      <c r="T13" s="25"/>
      <c r="U13" s="25"/>
      <c r="V13" s="25">
        <f>231656.7</f>
        <v>231656.7</v>
      </c>
      <c r="W13" s="25"/>
      <c r="X13" s="25"/>
      <c r="Y13" s="25"/>
      <c r="Z13" s="25"/>
      <c r="AA13" s="26" t="s">
        <v>37</v>
      </c>
      <c r="AB13" s="26"/>
      <c r="AC13" s="26"/>
    </row>
    <row r="14" spans="1:29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41</v>
      </c>
      <c r="Q14" s="24"/>
      <c r="R14" s="24"/>
      <c r="S14" s="25">
        <f>340000</f>
        <v>340000</v>
      </c>
      <c r="T14" s="25"/>
      <c r="U14" s="25"/>
      <c r="V14" s="25">
        <f>344463.94</f>
        <v>344463.94</v>
      </c>
      <c r="W14" s="25"/>
      <c r="X14" s="25"/>
      <c r="Y14" s="25"/>
      <c r="Z14" s="25"/>
      <c r="AA14" s="26" t="s">
        <v>37</v>
      </c>
      <c r="AB14" s="26"/>
      <c r="AC14" s="26"/>
    </row>
    <row r="15" spans="1:29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43</v>
      </c>
      <c r="Q15" s="24"/>
      <c r="R15" s="24"/>
      <c r="S15" s="25">
        <f>2142300</f>
        <v>2142300</v>
      </c>
      <c r="T15" s="25"/>
      <c r="U15" s="25"/>
      <c r="V15" s="25">
        <f>2195348.74</f>
        <v>2195348.74</v>
      </c>
      <c r="W15" s="25"/>
      <c r="X15" s="25"/>
      <c r="Y15" s="25"/>
      <c r="Z15" s="25"/>
      <c r="AA15" s="26" t="s">
        <v>37</v>
      </c>
      <c r="AB15" s="26"/>
      <c r="AC15" s="26"/>
    </row>
    <row r="16" spans="1:29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5">
        <f>12210</f>
        <v>12210</v>
      </c>
      <c r="T16" s="25"/>
      <c r="U16" s="25"/>
      <c r="V16" s="25">
        <f>15439.31</f>
        <v>15439.31</v>
      </c>
      <c r="W16" s="25"/>
      <c r="X16" s="25"/>
      <c r="Y16" s="25"/>
      <c r="Z16" s="25"/>
      <c r="AA16" s="26" t="s">
        <v>37</v>
      </c>
      <c r="AB16" s="26"/>
      <c r="AC16" s="26"/>
    </row>
    <row r="17" spans="1:29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2818070</f>
        <v>2818070</v>
      </c>
      <c r="T17" s="25"/>
      <c r="U17" s="25"/>
      <c r="V17" s="25">
        <f>2918916.21</f>
        <v>2918916.21</v>
      </c>
      <c r="W17" s="25"/>
      <c r="X17" s="25"/>
      <c r="Y17" s="25"/>
      <c r="Z17" s="25"/>
      <c r="AA17" s="26" t="s">
        <v>37</v>
      </c>
      <c r="AB17" s="26"/>
      <c r="AC17" s="26"/>
    </row>
    <row r="18" spans="1:29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-306930</f>
        <v>-306930</v>
      </c>
      <c r="T18" s="25"/>
      <c r="U18" s="25"/>
      <c r="V18" s="25">
        <f>-374363.33</f>
        <v>-374363.33</v>
      </c>
      <c r="W18" s="25"/>
      <c r="X18" s="25"/>
      <c r="Y18" s="25"/>
      <c r="Z18" s="25"/>
      <c r="AA18" s="26" t="s">
        <v>37</v>
      </c>
      <c r="AB18" s="26"/>
      <c r="AC18" s="26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4100000</f>
        <v>4100000</v>
      </c>
      <c r="T19" s="25"/>
      <c r="U19" s="25"/>
      <c r="V19" s="25">
        <f>3971508.81</f>
        <v>3971508.81</v>
      </c>
      <c r="W19" s="25"/>
      <c r="X19" s="25"/>
      <c r="Y19" s="25"/>
      <c r="Z19" s="25"/>
      <c r="AA19" s="27">
        <f>128491.19</f>
        <v>128491.19</v>
      </c>
      <c r="AB19" s="27"/>
      <c r="AC19" s="27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2000</f>
        <v>2000</v>
      </c>
      <c r="T20" s="25"/>
      <c r="U20" s="25"/>
      <c r="V20" s="25">
        <f>1481.68</f>
        <v>1481.68</v>
      </c>
      <c r="W20" s="25"/>
      <c r="X20" s="25"/>
      <c r="Y20" s="25"/>
      <c r="Z20" s="25"/>
      <c r="AA20" s="27">
        <f>518.32</f>
        <v>518.32</v>
      </c>
      <c r="AB20" s="27"/>
      <c r="AC20" s="27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79881.81</f>
        <v>79881.81</v>
      </c>
      <c r="T21" s="25"/>
      <c r="U21" s="25"/>
      <c r="V21" s="25">
        <f>79881.81</f>
        <v>79881.81</v>
      </c>
      <c r="W21" s="25"/>
      <c r="X21" s="25"/>
      <c r="Y21" s="25"/>
      <c r="Z21" s="25"/>
      <c r="AA21" s="27">
        <f>0</f>
        <v>0</v>
      </c>
      <c r="AB21" s="27"/>
      <c r="AC21" s="27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35236.56</f>
        <v>35236.56</v>
      </c>
      <c r="T22" s="25"/>
      <c r="U22" s="25"/>
      <c r="V22" s="25">
        <f>130839.25</f>
        <v>130839.25</v>
      </c>
      <c r="W22" s="25"/>
      <c r="X22" s="25"/>
      <c r="Y22" s="25"/>
      <c r="Z22" s="25"/>
      <c r="AA22" s="26" t="s">
        <v>37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219584.1</f>
        <v>219584.1</v>
      </c>
      <c r="W23" s="25"/>
      <c r="X23" s="25"/>
      <c r="Y23" s="25"/>
      <c r="Z23" s="25"/>
      <c r="AA23" s="26" t="s">
        <v>37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7000</f>
        <v>7000</v>
      </c>
      <c r="T24" s="25"/>
      <c r="U24" s="25"/>
      <c r="V24" s="25">
        <f>6972.99</f>
        <v>6972.99</v>
      </c>
      <c r="W24" s="25"/>
      <c r="X24" s="25"/>
      <c r="Y24" s="25"/>
      <c r="Z24" s="25"/>
      <c r="AA24" s="27">
        <f>27.01</f>
        <v>27.01</v>
      </c>
      <c r="AB24" s="27"/>
      <c r="AC24" s="27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35325.8</f>
        <v>35325.8</v>
      </c>
      <c r="W25" s="25"/>
      <c r="X25" s="25"/>
      <c r="Y25" s="25"/>
      <c r="Z25" s="25"/>
      <c r="AA25" s="26" t="s">
        <v>37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590000</f>
        <v>590000</v>
      </c>
      <c r="T26" s="25"/>
      <c r="U26" s="25"/>
      <c r="V26" s="25">
        <f>614781.33</f>
        <v>614781.33</v>
      </c>
      <c r="W26" s="25"/>
      <c r="X26" s="25"/>
      <c r="Y26" s="25"/>
      <c r="Z26" s="25"/>
      <c r="AA26" s="26" t="s">
        <v>37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130000</f>
        <v>130000</v>
      </c>
      <c r="T27" s="25"/>
      <c r="U27" s="25"/>
      <c r="V27" s="25">
        <f>104147.91</f>
        <v>104147.91</v>
      </c>
      <c r="W27" s="25"/>
      <c r="X27" s="25"/>
      <c r="Y27" s="25"/>
      <c r="Z27" s="25"/>
      <c r="AA27" s="27">
        <f>25852.09</f>
        <v>25852.09</v>
      </c>
      <c r="AB27" s="27"/>
      <c r="AC27" s="27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46000</f>
        <v>46000</v>
      </c>
      <c r="T28" s="25"/>
      <c r="U28" s="25"/>
      <c r="V28" s="25">
        <f>48790</f>
        <v>48790</v>
      </c>
      <c r="W28" s="25"/>
      <c r="X28" s="25"/>
      <c r="Y28" s="25"/>
      <c r="Z28" s="25"/>
      <c r="AA28" s="26" t="s">
        <v>37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11200</f>
        <v>11200</v>
      </c>
      <c r="T29" s="25"/>
      <c r="U29" s="25"/>
      <c r="V29" s="25">
        <f>12800</f>
        <v>12800</v>
      </c>
      <c r="W29" s="25"/>
      <c r="X29" s="25"/>
      <c r="Y29" s="25"/>
      <c r="Z29" s="25"/>
      <c r="AA29" s="26" t="s">
        <v>37</v>
      </c>
      <c r="AB29" s="26"/>
      <c r="AC29" s="26"/>
    </row>
    <row r="30" spans="1:29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110227.86</f>
        <v>110227.86</v>
      </c>
      <c r="T30" s="25"/>
      <c r="U30" s="25"/>
      <c r="V30" s="25">
        <f>113282.03</f>
        <v>113282.03</v>
      </c>
      <c r="W30" s="25"/>
      <c r="X30" s="25"/>
      <c r="Y30" s="25"/>
      <c r="Z30" s="25"/>
      <c r="AA30" s="26" t="s">
        <v>37</v>
      </c>
      <c r="AB30" s="26"/>
      <c r="AC30" s="26"/>
    </row>
    <row r="31" spans="1:29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780000</f>
        <v>780000</v>
      </c>
      <c r="T31" s="25"/>
      <c r="U31" s="25"/>
      <c r="V31" s="25">
        <f>777293.24</f>
        <v>777293.24</v>
      </c>
      <c r="W31" s="25"/>
      <c r="X31" s="25"/>
      <c r="Y31" s="25"/>
      <c r="Z31" s="25"/>
      <c r="AA31" s="27">
        <f>2706.76</f>
        <v>2706.76</v>
      </c>
      <c r="AB31" s="27"/>
      <c r="AC31" s="27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120000</f>
        <v>120000</v>
      </c>
      <c r="T32" s="25"/>
      <c r="U32" s="25"/>
      <c r="V32" s="25">
        <f>120100</f>
        <v>120100</v>
      </c>
      <c r="W32" s="25"/>
      <c r="X32" s="25"/>
      <c r="Y32" s="25"/>
      <c r="Z32" s="25"/>
      <c r="AA32" s="26" t="s">
        <v>37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476213.11</f>
        <v>476213.11</v>
      </c>
      <c r="T33" s="25"/>
      <c r="U33" s="25"/>
      <c r="V33" s="25">
        <f>438576.84</f>
        <v>438576.84</v>
      </c>
      <c r="W33" s="25"/>
      <c r="X33" s="25"/>
      <c r="Y33" s="25"/>
      <c r="Z33" s="25"/>
      <c r="AA33" s="27">
        <f>37636.27</f>
        <v>37636.27</v>
      </c>
      <c r="AB33" s="27"/>
      <c r="AC33" s="27"/>
    </row>
    <row r="34" spans="1:29" s="1" customFormat="1" ht="54.7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0</f>
        <v>0</v>
      </c>
      <c r="T34" s="25"/>
      <c r="U34" s="25"/>
      <c r="V34" s="25">
        <f>0</f>
        <v>0</v>
      </c>
      <c r="W34" s="25"/>
      <c r="X34" s="25"/>
      <c r="Y34" s="25"/>
      <c r="Z34" s="25"/>
      <c r="AA34" s="26" t="s">
        <v>37</v>
      </c>
      <c r="AB34" s="26"/>
      <c r="AC34" s="26"/>
    </row>
    <row r="35" spans="1:29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8" t="s">
        <v>37</v>
      </c>
      <c r="T35" s="28"/>
      <c r="U35" s="28"/>
      <c r="V35" s="25">
        <f>0</f>
        <v>0</v>
      </c>
      <c r="W35" s="25"/>
      <c r="X35" s="25"/>
      <c r="Y35" s="25"/>
      <c r="Z35" s="25"/>
      <c r="AA35" s="26" t="s">
        <v>37</v>
      </c>
      <c r="AB35" s="26"/>
      <c r="AC35" s="26"/>
    </row>
    <row r="36" spans="1:29" s="1" customFormat="1" ht="13.5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663200</f>
        <v>663200</v>
      </c>
      <c r="T36" s="25"/>
      <c r="U36" s="25"/>
      <c r="V36" s="25">
        <f>663200</f>
        <v>663200</v>
      </c>
      <c r="W36" s="25"/>
      <c r="X36" s="25"/>
      <c r="Y36" s="25"/>
      <c r="Z36" s="25"/>
      <c r="AA36" s="27">
        <f>0</f>
        <v>0</v>
      </c>
      <c r="AB36" s="27"/>
      <c r="AC36" s="27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26631200</f>
        <v>26631200</v>
      </c>
      <c r="T37" s="25"/>
      <c r="U37" s="25"/>
      <c r="V37" s="25">
        <f>26631200</f>
        <v>26631200</v>
      </c>
      <c r="W37" s="25"/>
      <c r="X37" s="25"/>
      <c r="Y37" s="25"/>
      <c r="Z37" s="25"/>
      <c r="AA37" s="27">
        <f>0</f>
        <v>0</v>
      </c>
      <c r="AB37" s="27"/>
      <c r="AC37" s="27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19685.71</f>
        <v>19685.71</v>
      </c>
      <c r="T38" s="25"/>
      <c r="U38" s="25"/>
      <c r="V38" s="25">
        <f>19685.71</f>
        <v>19685.71</v>
      </c>
      <c r="W38" s="25"/>
      <c r="X38" s="25"/>
      <c r="Y38" s="25"/>
      <c r="Z38" s="25"/>
      <c r="AA38" s="27">
        <f>0</f>
        <v>0</v>
      </c>
      <c r="AB38" s="27"/>
      <c r="AC38" s="27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466400</f>
        <v>466400</v>
      </c>
      <c r="T39" s="25"/>
      <c r="U39" s="25"/>
      <c r="V39" s="25">
        <f>466400</f>
        <v>466400</v>
      </c>
      <c r="W39" s="25"/>
      <c r="X39" s="25"/>
      <c r="Y39" s="25"/>
      <c r="Z39" s="25"/>
      <c r="AA39" s="27">
        <f>0</f>
        <v>0</v>
      </c>
      <c r="AB39" s="27"/>
      <c r="AC39" s="27"/>
    </row>
    <row r="40" spans="1:29" s="1" customFormat="1" ht="24" customHeight="1">
      <c r="A40" s="23" t="s">
        <v>92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35</v>
      </c>
      <c r="N40" s="24"/>
      <c r="O40" s="24"/>
      <c r="P40" s="24" t="s">
        <v>93</v>
      </c>
      <c r="Q40" s="24"/>
      <c r="R40" s="24"/>
      <c r="S40" s="25">
        <f>84399.94</f>
        <v>84399.94</v>
      </c>
      <c r="T40" s="25"/>
      <c r="U40" s="25"/>
      <c r="V40" s="25">
        <f>84399.94</f>
        <v>84399.94</v>
      </c>
      <c r="W40" s="25"/>
      <c r="X40" s="25"/>
      <c r="Y40" s="25"/>
      <c r="Z40" s="25"/>
      <c r="AA40" s="27">
        <f>0</f>
        <v>0</v>
      </c>
      <c r="AB40" s="27"/>
      <c r="AC40" s="27"/>
    </row>
    <row r="41" spans="1:29" s="1" customFormat="1" ht="24" customHeight="1">
      <c r="A41" s="23" t="s">
        <v>94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35</v>
      </c>
      <c r="N41" s="24"/>
      <c r="O41" s="24"/>
      <c r="P41" s="24" t="s">
        <v>95</v>
      </c>
      <c r="Q41" s="24"/>
      <c r="R41" s="24"/>
      <c r="S41" s="25">
        <f>12220810.09</f>
        <v>12220810.09</v>
      </c>
      <c r="T41" s="25"/>
      <c r="U41" s="25"/>
      <c r="V41" s="25">
        <f>12220807.4</f>
        <v>12220807.4</v>
      </c>
      <c r="W41" s="25"/>
      <c r="X41" s="25"/>
      <c r="Y41" s="25"/>
      <c r="Z41" s="25"/>
      <c r="AA41" s="27">
        <f>2.69</f>
        <v>2.69</v>
      </c>
      <c r="AB41" s="27"/>
      <c r="AC41" s="27"/>
    </row>
    <row r="42" spans="1:29" s="1" customFormat="1" ht="54.75" customHeight="1">
      <c r="A42" s="23" t="s">
        <v>96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35</v>
      </c>
      <c r="N42" s="24"/>
      <c r="O42" s="24"/>
      <c r="P42" s="24" t="s">
        <v>97</v>
      </c>
      <c r="Q42" s="24"/>
      <c r="R42" s="24"/>
      <c r="S42" s="28" t="s">
        <v>37</v>
      </c>
      <c r="T42" s="28"/>
      <c r="U42" s="28"/>
      <c r="V42" s="25">
        <f>0</f>
        <v>0</v>
      </c>
      <c r="W42" s="25"/>
      <c r="X42" s="25"/>
      <c r="Y42" s="25"/>
      <c r="Z42" s="25"/>
      <c r="AA42" s="26" t="s">
        <v>37</v>
      </c>
      <c r="AB42" s="26"/>
      <c r="AC42" s="26"/>
    </row>
    <row r="43" spans="1:29" s="1" customFormat="1" ht="13.5" customHeight="1">
      <c r="A43" s="29" t="s">
        <v>10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s="1" customFormat="1" ht="13.5" customHeight="1">
      <c r="A44" s="12" t="s">
        <v>98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s="1" customFormat="1" ht="34.5" customHeight="1">
      <c r="A45" s="13" t="s">
        <v>22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 t="s">
        <v>23</v>
      </c>
      <c r="M45" s="13"/>
      <c r="N45" s="13"/>
      <c r="O45" s="13" t="s">
        <v>99</v>
      </c>
      <c r="P45" s="13"/>
      <c r="Q45" s="13"/>
      <c r="R45" s="14" t="s">
        <v>100</v>
      </c>
      <c r="S45" s="14"/>
      <c r="T45" s="14" t="s">
        <v>25</v>
      </c>
      <c r="U45" s="14"/>
      <c r="V45" s="14"/>
      <c r="W45" s="14" t="s">
        <v>26</v>
      </c>
      <c r="X45" s="14"/>
      <c r="Y45" s="14"/>
      <c r="Z45" s="14"/>
      <c r="AA45" s="14"/>
      <c r="AB45" s="15" t="s">
        <v>27</v>
      </c>
      <c r="AC45" s="15"/>
    </row>
    <row r="46" spans="1:29" s="1" customFormat="1" ht="13.5" customHeight="1">
      <c r="A46" s="16" t="s">
        <v>28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 t="s">
        <v>29</v>
      </c>
      <c r="M46" s="16"/>
      <c r="N46" s="16"/>
      <c r="O46" s="16" t="s">
        <v>30</v>
      </c>
      <c r="P46" s="16"/>
      <c r="Q46" s="16"/>
      <c r="R46" s="17" t="s">
        <v>31</v>
      </c>
      <c r="S46" s="17"/>
      <c r="T46" s="17" t="s">
        <v>32</v>
      </c>
      <c r="U46" s="17"/>
      <c r="V46" s="17"/>
      <c r="W46" s="17" t="s">
        <v>33</v>
      </c>
      <c r="X46" s="17"/>
      <c r="Y46" s="17"/>
      <c r="Z46" s="17"/>
      <c r="AA46" s="17"/>
      <c r="AB46" s="18" t="s">
        <v>101</v>
      </c>
      <c r="AC46" s="18"/>
    </row>
    <row r="47" spans="1:29" s="1" customFormat="1" ht="13.5" customHeight="1">
      <c r="A47" s="19" t="s">
        <v>102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 t="s">
        <v>103</v>
      </c>
      <c r="M47" s="20"/>
      <c r="N47" s="20"/>
      <c r="O47" s="20" t="s">
        <v>36</v>
      </c>
      <c r="P47" s="20"/>
      <c r="Q47" s="20"/>
      <c r="R47" s="30" t="s">
        <v>36</v>
      </c>
      <c r="S47" s="30"/>
      <c r="T47" s="21">
        <f>54739967.44</f>
        <v>54739967.44</v>
      </c>
      <c r="U47" s="21"/>
      <c r="V47" s="21"/>
      <c r="W47" s="21">
        <f>52750556.28</f>
        <v>52750556.28</v>
      </c>
      <c r="X47" s="21"/>
      <c r="Y47" s="21"/>
      <c r="Z47" s="21"/>
      <c r="AA47" s="21"/>
      <c r="AB47" s="31">
        <f>1989411.16</f>
        <v>1989411.16</v>
      </c>
      <c r="AC47" s="31"/>
    </row>
    <row r="48" spans="1:29" s="1" customFormat="1" ht="13.5" customHeight="1">
      <c r="A48" s="32" t="s">
        <v>104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 t="s">
        <v>103</v>
      </c>
      <c r="M48" s="33"/>
      <c r="N48" s="33"/>
      <c r="O48" s="33" t="s">
        <v>105</v>
      </c>
      <c r="P48" s="33"/>
      <c r="Q48" s="33"/>
      <c r="R48" s="34" t="s">
        <v>106</v>
      </c>
      <c r="S48" s="34"/>
      <c r="T48" s="35">
        <f>1475746</f>
        <v>1475746</v>
      </c>
      <c r="U48" s="35"/>
      <c r="V48" s="35"/>
      <c r="W48" s="35">
        <f>1464252</f>
        <v>1464252</v>
      </c>
      <c r="X48" s="35"/>
      <c r="Y48" s="35"/>
      <c r="Z48" s="35"/>
      <c r="AA48" s="35"/>
      <c r="AB48" s="36">
        <f>11494</f>
        <v>11494</v>
      </c>
      <c r="AC48" s="36"/>
    </row>
    <row r="49" spans="1:29" s="1" customFormat="1" ht="13.5" customHeight="1">
      <c r="A49" s="32" t="s">
        <v>107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 t="s">
        <v>103</v>
      </c>
      <c r="M49" s="33"/>
      <c r="N49" s="33"/>
      <c r="O49" s="33" t="s">
        <v>108</v>
      </c>
      <c r="P49" s="33"/>
      <c r="Q49" s="33"/>
      <c r="R49" s="34" t="s">
        <v>109</v>
      </c>
      <c r="S49" s="34"/>
      <c r="T49" s="35">
        <f>444791</f>
        <v>444791</v>
      </c>
      <c r="U49" s="35"/>
      <c r="V49" s="35"/>
      <c r="W49" s="35">
        <f>444791</f>
        <v>444791</v>
      </c>
      <c r="X49" s="35"/>
      <c r="Y49" s="35"/>
      <c r="Z49" s="35"/>
      <c r="AA49" s="35"/>
      <c r="AB49" s="36">
        <f>0</f>
        <v>0</v>
      </c>
      <c r="AC49" s="36"/>
    </row>
    <row r="50" spans="1:29" s="1" customFormat="1" ht="13.5" customHeight="1">
      <c r="A50" s="32" t="s">
        <v>104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 t="s">
        <v>103</v>
      </c>
      <c r="M50" s="33"/>
      <c r="N50" s="33"/>
      <c r="O50" s="33" t="s">
        <v>110</v>
      </c>
      <c r="P50" s="33"/>
      <c r="Q50" s="33"/>
      <c r="R50" s="34" t="s">
        <v>106</v>
      </c>
      <c r="S50" s="34"/>
      <c r="T50" s="35">
        <f>7769722.53</f>
        <v>7769722.53</v>
      </c>
      <c r="U50" s="35"/>
      <c r="V50" s="35"/>
      <c r="W50" s="35">
        <f>7734718.66</f>
        <v>7734718.66</v>
      </c>
      <c r="X50" s="35"/>
      <c r="Y50" s="35"/>
      <c r="Z50" s="35"/>
      <c r="AA50" s="35"/>
      <c r="AB50" s="36">
        <f>35003.87</f>
        <v>35003.87</v>
      </c>
      <c r="AC50" s="36"/>
    </row>
    <row r="51" spans="1:29" s="1" customFormat="1" ht="13.5" customHeight="1">
      <c r="A51" s="32" t="s">
        <v>111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3" t="s">
        <v>103</v>
      </c>
      <c r="M51" s="33"/>
      <c r="N51" s="33"/>
      <c r="O51" s="33" t="s">
        <v>110</v>
      </c>
      <c r="P51" s="33"/>
      <c r="Q51" s="33"/>
      <c r="R51" s="34" t="s">
        <v>112</v>
      </c>
      <c r="S51" s="34"/>
      <c r="T51" s="35">
        <f>40802.73</f>
        <v>40802.73</v>
      </c>
      <c r="U51" s="35"/>
      <c r="V51" s="35"/>
      <c r="W51" s="35">
        <f>40802.73</f>
        <v>40802.73</v>
      </c>
      <c r="X51" s="35"/>
      <c r="Y51" s="35"/>
      <c r="Z51" s="35"/>
      <c r="AA51" s="35"/>
      <c r="AB51" s="36">
        <f>0</f>
        <v>0</v>
      </c>
      <c r="AC51" s="36"/>
    </row>
    <row r="52" spans="1:29" s="1" customFormat="1" ht="13.5" customHeight="1">
      <c r="A52" s="32" t="s">
        <v>113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 t="s">
        <v>103</v>
      </c>
      <c r="M52" s="33"/>
      <c r="N52" s="33"/>
      <c r="O52" s="33" t="s">
        <v>114</v>
      </c>
      <c r="P52" s="33"/>
      <c r="Q52" s="33"/>
      <c r="R52" s="34" t="s">
        <v>115</v>
      </c>
      <c r="S52" s="34"/>
      <c r="T52" s="35">
        <f>200000</f>
        <v>200000</v>
      </c>
      <c r="U52" s="35"/>
      <c r="V52" s="35"/>
      <c r="W52" s="35">
        <f>187199.31</f>
        <v>187199.31</v>
      </c>
      <c r="X52" s="35"/>
      <c r="Y52" s="35"/>
      <c r="Z52" s="35"/>
      <c r="AA52" s="35"/>
      <c r="AB52" s="36">
        <f>12800.69</f>
        <v>12800.69</v>
      </c>
      <c r="AC52" s="36"/>
    </row>
    <row r="53" spans="1:29" s="1" customFormat="1" ht="13.5" customHeight="1">
      <c r="A53" s="32" t="s">
        <v>116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 t="s">
        <v>103</v>
      </c>
      <c r="M53" s="33"/>
      <c r="N53" s="33"/>
      <c r="O53" s="33" t="s">
        <v>114</v>
      </c>
      <c r="P53" s="33"/>
      <c r="Q53" s="33"/>
      <c r="R53" s="34" t="s">
        <v>117</v>
      </c>
      <c r="S53" s="34"/>
      <c r="T53" s="35">
        <f>3040</f>
        <v>3040</v>
      </c>
      <c r="U53" s="35"/>
      <c r="V53" s="35"/>
      <c r="W53" s="35">
        <f>3040</f>
        <v>3040</v>
      </c>
      <c r="X53" s="35"/>
      <c r="Y53" s="35"/>
      <c r="Z53" s="35"/>
      <c r="AA53" s="35"/>
      <c r="AB53" s="36">
        <f>0</f>
        <v>0</v>
      </c>
      <c r="AC53" s="36"/>
    </row>
    <row r="54" spans="1:29" s="1" customFormat="1" ht="13.5" customHeight="1">
      <c r="A54" s="32" t="s">
        <v>118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 t="s">
        <v>103</v>
      </c>
      <c r="M54" s="33"/>
      <c r="N54" s="33"/>
      <c r="O54" s="33" t="s">
        <v>114</v>
      </c>
      <c r="P54" s="33"/>
      <c r="Q54" s="33"/>
      <c r="R54" s="34" t="s">
        <v>119</v>
      </c>
      <c r="S54" s="34"/>
      <c r="T54" s="35">
        <f>90000</f>
        <v>90000</v>
      </c>
      <c r="U54" s="35"/>
      <c r="V54" s="35"/>
      <c r="W54" s="35">
        <f>64939</f>
        <v>64939</v>
      </c>
      <c r="X54" s="35"/>
      <c r="Y54" s="35"/>
      <c r="Z54" s="35"/>
      <c r="AA54" s="35"/>
      <c r="AB54" s="36">
        <f>25061</f>
        <v>25061</v>
      </c>
      <c r="AC54" s="36"/>
    </row>
    <row r="55" spans="1:29" s="1" customFormat="1" ht="13.5" customHeight="1">
      <c r="A55" s="32" t="s">
        <v>107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 t="s">
        <v>103</v>
      </c>
      <c r="M55" s="33"/>
      <c r="N55" s="33"/>
      <c r="O55" s="33" t="s">
        <v>120</v>
      </c>
      <c r="P55" s="33"/>
      <c r="Q55" s="33"/>
      <c r="R55" s="34" t="s">
        <v>109</v>
      </c>
      <c r="S55" s="34"/>
      <c r="T55" s="35">
        <f>2333109.68</f>
        <v>2333109.68</v>
      </c>
      <c r="U55" s="35"/>
      <c r="V55" s="35"/>
      <c r="W55" s="35">
        <f>2293961.6</f>
        <v>2293961.6</v>
      </c>
      <c r="X55" s="35"/>
      <c r="Y55" s="35"/>
      <c r="Z55" s="35"/>
      <c r="AA55" s="35"/>
      <c r="AB55" s="36">
        <f>39148.08</f>
        <v>39148.08</v>
      </c>
      <c r="AC55" s="36"/>
    </row>
    <row r="56" spans="1:29" s="1" customFormat="1" ht="13.5" customHeight="1">
      <c r="A56" s="32" t="s">
        <v>121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3" t="s">
        <v>103</v>
      </c>
      <c r="M56" s="33"/>
      <c r="N56" s="33"/>
      <c r="O56" s="33" t="s">
        <v>122</v>
      </c>
      <c r="P56" s="33"/>
      <c r="Q56" s="33"/>
      <c r="R56" s="34" t="s">
        <v>123</v>
      </c>
      <c r="S56" s="34"/>
      <c r="T56" s="35">
        <f>259409</f>
        <v>259409</v>
      </c>
      <c r="U56" s="35"/>
      <c r="V56" s="35"/>
      <c r="W56" s="35">
        <f>259409</f>
        <v>259409</v>
      </c>
      <c r="X56" s="35"/>
      <c r="Y56" s="35"/>
      <c r="Z56" s="35"/>
      <c r="AA56" s="35"/>
      <c r="AB56" s="36">
        <f>0</f>
        <v>0</v>
      </c>
      <c r="AC56" s="36"/>
    </row>
    <row r="57" spans="1:29" s="1" customFormat="1" ht="13.5" customHeight="1">
      <c r="A57" s="32" t="s">
        <v>124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 t="s">
        <v>103</v>
      </c>
      <c r="M57" s="33"/>
      <c r="N57" s="33"/>
      <c r="O57" s="33" t="s">
        <v>125</v>
      </c>
      <c r="P57" s="33"/>
      <c r="Q57" s="33"/>
      <c r="R57" s="34" t="s">
        <v>103</v>
      </c>
      <c r="S57" s="34"/>
      <c r="T57" s="35">
        <f>100000</f>
        <v>100000</v>
      </c>
      <c r="U57" s="35"/>
      <c r="V57" s="35"/>
      <c r="W57" s="37" t="s">
        <v>37</v>
      </c>
      <c r="X57" s="37"/>
      <c r="Y57" s="37"/>
      <c r="Z57" s="37"/>
      <c r="AA57" s="37"/>
      <c r="AB57" s="36">
        <f>100000</f>
        <v>100000</v>
      </c>
      <c r="AC57" s="36"/>
    </row>
    <row r="58" spans="1:29" s="1" customFormat="1" ht="13.5" customHeight="1">
      <c r="A58" s="32" t="s">
        <v>116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3" t="s">
        <v>103</v>
      </c>
      <c r="M58" s="33"/>
      <c r="N58" s="33"/>
      <c r="O58" s="33" t="s">
        <v>126</v>
      </c>
      <c r="P58" s="33"/>
      <c r="Q58" s="33"/>
      <c r="R58" s="34" t="s">
        <v>117</v>
      </c>
      <c r="S58" s="34"/>
      <c r="T58" s="35">
        <f>11500</f>
        <v>11500</v>
      </c>
      <c r="U58" s="35"/>
      <c r="V58" s="35"/>
      <c r="W58" s="35">
        <f>7500</f>
        <v>7500</v>
      </c>
      <c r="X58" s="35"/>
      <c r="Y58" s="35"/>
      <c r="Z58" s="35"/>
      <c r="AA58" s="35"/>
      <c r="AB58" s="36">
        <f>4000</f>
        <v>4000</v>
      </c>
      <c r="AC58" s="36"/>
    </row>
    <row r="59" spans="1:29" s="1" customFormat="1" ht="13.5" customHeight="1">
      <c r="A59" s="32" t="s">
        <v>116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 t="s">
        <v>103</v>
      </c>
      <c r="M59" s="33"/>
      <c r="N59" s="33"/>
      <c r="O59" s="33" t="s">
        <v>127</v>
      </c>
      <c r="P59" s="33"/>
      <c r="Q59" s="33"/>
      <c r="R59" s="34" t="s">
        <v>117</v>
      </c>
      <c r="S59" s="34"/>
      <c r="T59" s="35">
        <f>52248</f>
        <v>52248</v>
      </c>
      <c r="U59" s="35"/>
      <c r="V59" s="35"/>
      <c r="W59" s="35">
        <f>36700</f>
        <v>36700</v>
      </c>
      <c r="X59" s="35"/>
      <c r="Y59" s="35"/>
      <c r="Z59" s="35"/>
      <c r="AA59" s="35"/>
      <c r="AB59" s="36">
        <f>15548</f>
        <v>15548</v>
      </c>
      <c r="AC59" s="36"/>
    </row>
    <row r="60" spans="1:29" s="1" customFormat="1" ht="13.5" customHeight="1">
      <c r="A60" s="32" t="s">
        <v>116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 t="s">
        <v>103</v>
      </c>
      <c r="M60" s="33"/>
      <c r="N60" s="33"/>
      <c r="O60" s="33" t="s">
        <v>128</v>
      </c>
      <c r="P60" s="33"/>
      <c r="Q60" s="33"/>
      <c r="R60" s="34" t="s">
        <v>117</v>
      </c>
      <c r="S60" s="34"/>
      <c r="T60" s="35">
        <f>435708</f>
        <v>435708</v>
      </c>
      <c r="U60" s="35"/>
      <c r="V60" s="35"/>
      <c r="W60" s="35">
        <f>354995</f>
        <v>354995</v>
      </c>
      <c r="X60" s="35"/>
      <c r="Y60" s="35"/>
      <c r="Z60" s="35"/>
      <c r="AA60" s="35"/>
      <c r="AB60" s="36">
        <f>80713</f>
        <v>80713</v>
      </c>
      <c r="AC60" s="36"/>
    </row>
    <row r="61" spans="1:29" s="1" customFormat="1" ht="13.5" customHeight="1">
      <c r="A61" s="32" t="s">
        <v>116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 t="s">
        <v>103</v>
      </c>
      <c r="M61" s="33"/>
      <c r="N61" s="33"/>
      <c r="O61" s="33" t="s">
        <v>129</v>
      </c>
      <c r="P61" s="33"/>
      <c r="Q61" s="33"/>
      <c r="R61" s="34" t="s">
        <v>117</v>
      </c>
      <c r="S61" s="34"/>
      <c r="T61" s="35">
        <f>50000</f>
        <v>50000</v>
      </c>
      <c r="U61" s="35"/>
      <c r="V61" s="35"/>
      <c r="W61" s="35">
        <f>30341.85</f>
        <v>30341.85</v>
      </c>
      <c r="X61" s="35"/>
      <c r="Y61" s="35"/>
      <c r="Z61" s="35"/>
      <c r="AA61" s="35"/>
      <c r="AB61" s="36">
        <f>19658.15</f>
        <v>19658.15</v>
      </c>
      <c r="AC61" s="36"/>
    </row>
    <row r="62" spans="1:29" s="1" customFormat="1" ht="24" customHeight="1">
      <c r="A62" s="32" t="s">
        <v>130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 t="s">
        <v>103</v>
      </c>
      <c r="M62" s="33"/>
      <c r="N62" s="33"/>
      <c r="O62" s="33" t="s">
        <v>131</v>
      </c>
      <c r="P62" s="33"/>
      <c r="Q62" s="33"/>
      <c r="R62" s="34" t="s">
        <v>132</v>
      </c>
      <c r="S62" s="34"/>
      <c r="T62" s="35">
        <f>6000</f>
        <v>6000</v>
      </c>
      <c r="U62" s="35"/>
      <c r="V62" s="35"/>
      <c r="W62" s="35">
        <f>4119.22</f>
        <v>4119.22</v>
      </c>
      <c r="X62" s="35"/>
      <c r="Y62" s="35"/>
      <c r="Z62" s="35"/>
      <c r="AA62" s="35"/>
      <c r="AB62" s="36">
        <f>1880.78</f>
        <v>1880.78</v>
      </c>
      <c r="AC62" s="36"/>
    </row>
    <row r="63" spans="1:29" s="1" customFormat="1" ht="13.5" customHeight="1">
      <c r="A63" s="32" t="s">
        <v>104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3" t="s">
        <v>103</v>
      </c>
      <c r="M63" s="33"/>
      <c r="N63" s="33"/>
      <c r="O63" s="33" t="s">
        <v>133</v>
      </c>
      <c r="P63" s="33"/>
      <c r="Q63" s="33"/>
      <c r="R63" s="34" t="s">
        <v>106</v>
      </c>
      <c r="S63" s="34"/>
      <c r="T63" s="35">
        <f>7083059.57</f>
        <v>7083059.57</v>
      </c>
      <c r="U63" s="35"/>
      <c r="V63" s="35"/>
      <c r="W63" s="35">
        <f>7083059.57</f>
        <v>7083059.57</v>
      </c>
      <c r="X63" s="35"/>
      <c r="Y63" s="35"/>
      <c r="Z63" s="35"/>
      <c r="AA63" s="35"/>
      <c r="AB63" s="36">
        <f>0</f>
        <v>0</v>
      </c>
      <c r="AC63" s="36"/>
    </row>
    <row r="64" spans="1:29" s="1" customFormat="1" ht="13.5" customHeight="1">
      <c r="A64" s="32" t="s">
        <v>111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 t="s">
        <v>103</v>
      </c>
      <c r="M64" s="33"/>
      <c r="N64" s="33"/>
      <c r="O64" s="33" t="s">
        <v>133</v>
      </c>
      <c r="P64" s="33"/>
      <c r="Q64" s="33"/>
      <c r="R64" s="34" t="s">
        <v>112</v>
      </c>
      <c r="S64" s="34"/>
      <c r="T64" s="35">
        <f>20566.38</f>
        <v>20566.38</v>
      </c>
      <c r="U64" s="35"/>
      <c r="V64" s="35"/>
      <c r="W64" s="35">
        <f>20566.38</f>
        <v>20566.38</v>
      </c>
      <c r="X64" s="35"/>
      <c r="Y64" s="35"/>
      <c r="Z64" s="35"/>
      <c r="AA64" s="35"/>
      <c r="AB64" s="36">
        <f>0</f>
        <v>0</v>
      </c>
      <c r="AC64" s="36"/>
    </row>
    <row r="65" spans="1:29" s="1" customFormat="1" ht="13.5" customHeight="1">
      <c r="A65" s="32" t="s">
        <v>113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3" t="s">
        <v>103</v>
      </c>
      <c r="M65" s="33"/>
      <c r="N65" s="33"/>
      <c r="O65" s="33" t="s">
        <v>134</v>
      </c>
      <c r="P65" s="33"/>
      <c r="Q65" s="33"/>
      <c r="R65" s="34" t="s">
        <v>115</v>
      </c>
      <c r="S65" s="34"/>
      <c r="T65" s="35">
        <f>147297.85</f>
        <v>147297.85</v>
      </c>
      <c r="U65" s="35"/>
      <c r="V65" s="35"/>
      <c r="W65" s="35">
        <f>147297.85</f>
        <v>147297.85</v>
      </c>
      <c r="X65" s="35"/>
      <c r="Y65" s="35"/>
      <c r="Z65" s="35"/>
      <c r="AA65" s="35"/>
      <c r="AB65" s="36">
        <f>0</f>
        <v>0</v>
      </c>
      <c r="AC65" s="36"/>
    </row>
    <row r="66" spans="1:29" s="1" customFormat="1" ht="13.5" customHeight="1">
      <c r="A66" s="32" t="s">
        <v>116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3" t="s">
        <v>103</v>
      </c>
      <c r="M66" s="33"/>
      <c r="N66" s="33"/>
      <c r="O66" s="33" t="s">
        <v>134</v>
      </c>
      <c r="P66" s="33"/>
      <c r="Q66" s="33"/>
      <c r="R66" s="34" t="s">
        <v>117</v>
      </c>
      <c r="S66" s="34"/>
      <c r="T66" s="35">
        <f>13518</f>
        <v>13518</v>
      </c>
      <c r="U66" s="35"/>
      <c r="V66" s="35"/>
      <c r="W66" s="35">
        <f>12918</f>
        <v>12918</v>
      </c>
      <c r="X66" s="35"/>
      <c r="Y66" s="35"/>
      <c r="Z66" s="35"/>
      <c r="AA66" s="35"/>
      <c r="AB66" s="36">
        <f>600</f>
        <v>600</v>
      </c>
      <c r="AC66" s="36"/>
    </row>
    <row r="67" spans="1:29" s="1" customFormat="1" ht="13.5" customHeight="1">
      <c r="A67" s="32" t="s">
        <v>107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3" t="s">
        <v>103</v>
      </c>
      <c r="M67" s="33"/>
      <c r="N67" s="33"/>
      <c r="O67" s="33" t="s">
        <v>135</v>
      </c>
      <c r="P67" s="33"/>
      <c r="Q67" s="33"/>
      <c r="R67" s="34" t="s">
        <v>109</v>
      </c>
      <c r="S67" s="34"/>
      <c r="T67" s="35">
        <f>2130494.47</f>
        <v>2130494.47</v>
      </c>
      <c r="U67" s="35"/>
      <c r="V67" s="35"/>
      <c r="W67" s="35">
        <f>2130494.47</f>
        <v>2130494.47</v>
      </c>
      <c r="X67" s="35"/>
      <c r="Y67" s="35"/>
      <c r="Z67" s="35"/>
      <c r="AA67" s="35"/>
      <c r="AB67" s="36">
        <f>0</f>
        <v>0</v>
      </c>
      <c r="AC67" s="36"/>
    </row>
    <row r="68" spans="1:29" s="1" customFormat="1" ht="13.5" customHeight="1">
      <c r="A68" s="32" t="s">
        <v>136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3" t="s">
        <v>103</v>
      </c>
      <c r="M68" s="33"/>
      <c r="N68" s="33"/>
      <c r="O68" s="33" t="s">
        <v>137</v>
      </c>
      <c r="P68" s="33"/>
      <c r="Q68" s="33"/>
      <c r="R68" s="34" t="s">
        <v>138</v>
      </c>
      <c r="S68" s="34"/>
      <c r="T68" s="35">
        <f>43000</f>
        <v>43000</v>
      </c>
      <c r="U68" s="35"/>
      <c r="V68" s="35"/>
      <c r="W68" s="35">
        <f>38680.5</f>
        <v>38680.5</v>
      </c>
      <c r="X68" s="35"/>
      <c r="Y68" s="35"/>
      <c r="Z68" s="35"/>
      <c r="AA68" s="35"/>
      <c r="AB68" s="36">
        <f>4319.5</f>
        <v>4319.5</v>
      </c>
      <c r="AC68" s="36"/>
    </row>
    <row r="69" spans="1:29" s="1" customFormat="1" ht="13.5" customHeight="1">
      <c r="A69" s="32" t="s">
        <v>139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 t="s">
        <v>103</v>
      </c>
      <c r="M69" s="33"/>
      <c r="N69" s="33"/>
      <c r="O69" s="33" t="s">
        <v>137</v>
      </c>
      <c r="P69" s="33"/>
      <c r="Q69" s="33"/>
      <c r="R69" s="34" t="s">
        <v>140</v>
      </c>
      <c r="S69" s="34"/>
      <c r="T69" s="35">
        <f>33004.45</f>
        <v>33004.45</v>
      </c>
      <c r="U69" s="35"/>
      <c r="V69" s="35"/>
      <c r="W69" s="35">
        <f>11361.07</f>
        <v>11361.07</v>
      </c>
      <c r="X69" s="35"/>
      <c r="Y69" s="35"/>
      <c r="Z69" s="35"/>
      <c r="AA69" s="35"/>
      <c r="AB69" s="36">
        <f>21643.38</f>
        <v>21643.38</v>
      </c>
      <c r="AC69" s="36"/>
    </row>
    <row r="70" spans="1:29" s="1" customFormat="1" ht="13.5" customHeight="1">
      <c r="A70" s="32" t="s">
        <v>141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3" t="s">
        <v>103</v>
      </c>
      <c r="M70" s="33"/>
      <c r="N70" s="33"/>
      <c r="O70" s="33" t="s">
        <v>137</v>
      </c>
      <c r="P70" s="33"/>
      <c r="Q70" s="33"/>
      <c r="R70" s="34" t="s">
        <v>142</v>
      </c>
      <c r="S70" s="34"/>
      <c r="T70" s="35">
        <f>35466</f>
        <v>35466</v>
      </c>
      <c r="U70" s="35"/>
      <c r="V70" s="35"/>
      <c r="W70" s="35">
        <f>35466</f>
        <v>35466</v>
      </c>
      <c r="X70" s="35"/>
      <c r="Y70" s="35"/>
      <c r="Z70" s="35"/>
      <c r="AA70" s="35"/>
      <c r="AB70" s="36">
        <f>0</f>
        <v>0</v>
      </c>
      <c r="AC70" s="36"/>
    </row>
    <row r="71" spans="1:29" s="1" customFormat="1" ht="13.5" customHeight="1">
      <c r="A71" s="32" t="s">
        <v>116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3" t="s">
        <v>103</v>
      </c>
      <c r="M71" s="33"/>
      <c r="N71" s="33"/>
      <c r="O71" s="33" t="s">
        <v>137</v>
      </c>
      <c r="P71" s="33"/>
      <c r="Q71" s="33"/>
      <c r="R71" s="34" t="s">
        <v>117</v>
      </c>
      <c r="S71" s="34"/>
      <c r="T71" s="35">
        <f>39953</f>
        <v>39953</v>
      </c>
      <c r="U71" s="35"/>
      <c r="V71" s="35"/>
      <c r="W71" s="35">
        <f>39824</f>
        <v>39824</v>
      </c>
      <c r="X71" s="35"/>
      <c r="Y71" s="35"/>
      <c r="Z71" s="35"/>
      <c r="AA71" s="35"/>
      <c r="AB71" s="36">
        <f>129</f>
        <v>129</v>
      </c>
      <c r="AC71" s="36"/>
    </row>
    <row r="72" spans="1:29" s="1" customFormat="1" ht="13.5" customHeight="1">
      <c r="A72" s="32" t="s">
        <v>143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3" t="s">
        <v>103</v>
      </c>
      <c r="M72" s="33"/>
      <c r="N72" s="33"/>
      <c r="O72" s="33" t="s">
        <v>137</v>
      </c>
      <c r="P72" s="33"/>
      <c r="Q72" s="33"/>
      <c r="R72" s="34" t="s">
        <v>144</v>
      </c>
      <c r="S72" s="34"/>
      <c r="T72" s="35">
        <f>1200</f>
        <v>1200</v>
      </c>
      <c r="U72" s="35"/>
      <c r="V72" s="35"/>
      <c r="W72" s="35">
        <f>1200</f>
        <v>1200</v>
      </c>
      <c r="X72" s="35"/>
      <c r="Y72" s="35"/>
      <c r="Z72" s="35"/>
      <c r="AA72" s="35"/>
      <c r="AB72" s="36">
        <f>0</f>
        <v>0</v>
      </c>
      <c r="AC72" s="36"/>
    </row>
    <row r="73" spans="1:29" s="1" customFormat="1" ht="24" customHeight="1">
      <c r="A73" s="32" t="s">
        <v>145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 t="s">
        <v>103</v>
      </c>
      <c r="M73" s="33"/>
      <c r="N73" s="33"/>
      <c r="O73" s="33" t="s">
        <v>137</v>
      </c>
      <c r="P73" s="33"/>
      <c r="Q73" s="33"/>
      <c r="R73" s="34" t="s">
        <v>146</v>
      </c>
      <c r="S73" s="34"/>
      <c r="T73" s="35">
        <f>3075</f>
        <v>3075</v>
      </c>
      <c r="U73" s="35"/>
      <c r="V73" s="35"/>
      <c r="W73" s="35">
        <f>3075</f>
        <v>3075</v>
      </c>
      <c r="X73" s="35"/>
      <c r="Y73" s="35"/>
      <c r="Z73" s="35"/>
      <c r="AA73" s="35"/>
      <c r="AB73" s="36">
        <f>0</f>
        <v>0</v>
      </c>
      <c r="AC73" s="36"/>
    </row>
    <row r="74" spans="1:29" s="1" customFormat="1" ht="13.5" customHeight="1">
      <c r="A74" s="32" t="s">
        <v>147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3" t="s">
        <v>103</v>
      </c>
      <c r="M74" s="33"/>
      <c r="N74" s="33"/>
      <c r="O74" s="33" t="s">
        <v>137</v>
      </c>
      <c r="P74" s="33"/>
      <c r="Q74" s="33"/>
      <c r="R74" s="34" t="s">
        <v>148</v>
      </c>
      <c r="S74" s="34"/>
      <c r="T74" s="35">
        <f>180000</f>
        <v>180000</v>
      </c>
      <c r="U74" s="35"/>
      <c r="V74" s="35"/>
      <c r="W74" s="35">
        <f>166750</f>
        <v>166750</v>
      </c>
      <c r="X74" s="35"/>
      <c r="Y74" s="35"/>
      <c r="Z74" s="35"/>
      <c r="AA74" s="35"/>
      <c r="AB74" s="36">
        <f>13250</f>
        <v>13250</v>
      </c>
      <c r="AC74" s="36"/>
    </row>
    <row r="75" spans="1:29" s="1" customFormat="1" ht="13.5" customHeight="1">
      <c r="A75" s="32" t="s">
        <v>149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3" t="s">
        <v>103</v>
      </c>
      <c r="M75" s="33"/>
      <c r="N75" s="33"/>
      <c r="O75" s="33" t="s">
        <v>137</v>
      </c>
      <c r="P75" s="33"/>
      <c r="Q75" s="33"/>
      <c r="R75" s="34" t="s">
        <v>150</v>
      </c>
      <c r="S75" s="34"/>
      <c r="T75" s="35">
        <f>3520</f>
        <v>3520</v>
      </c>
      <c r="U75" s="35"/>
      <c r="V75" s="35"/>
      <c r="W75" s="35">
        <f>3520</f>
        <v>3520</v>
      </c>
      <c r="X75" s="35"/>
      <c r="Y75" s="35"/>
      <c r="Z75" s="35"/>
      <c r="AA75" s="35"/>
      <c r="AB75" s="36">
        <f>0</f>
        <v>0</v>
      </c>
      <c r="AC75" s="36"/>
    </row>
    <row r="76" spans="1:29" s="1" customFormat="1" ht="13.5" customHeight="1">
      <c r="A76" s="32" t="s">
        <v>151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 t="s">
        <v>103</v>
      </c>
      <c r="M76" s="33"/>
      <c r="N76" s="33"/>
      <c r="O76" s="33" t="s">
        <v>137</v>
      </c>
      <c r="P76" s="33"/>
      <c r="Q76" s="33"/>
      <c r="R76" s="34" t="s">
        <v>152</v>
      </c>
      <c r="S76" s="34"/>
      <c r="T76" s="35">
        <f>107181</f>
        <v>107181</v>
      </c>
      <c r="U76" s="35"/>
      <c r="V76" s="35"/>
      <c r="W76" s="35">
        <f>107181</f>
        <v>107181</v>
      </c>
      <c r="X76" s="35"/>
      <c r="Y76" s="35"/>
      <c r="Z76" s="35"/>
      <c r="AA76" s="35"/>
      <c r="AB76" s="36">
        <f>0</f>
        <v>0</v>
      </c>
      <c r="AC76" s="36"/>
    </row>
    <row r="77" spans="1:29" s="1" customFormat="1" ht="24" customHeight="1">
      <c r="A77" s="32" t="s">
        <v>130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3" t="s">
        <v>103</v>
      </c>
      <c r="M77" s="33"/>
      <c r="N77" s="33"/>
      <c r="O77" s="33" t="s">
        <v>137</v>
      </c>
      <c r="P77" s="33"/>
      <c r="Q77" s="33"/>
      <c r="R77" s="34" t="s">
        <v>132</v>
      </c>
      <c r="S77" s="34"/>
      <c r="T77" s="35">
        <f>4000</f>
        <v>4000</v>
      </c>
      <c r="U77" s="35"/>
      <c r="V77" s="35"/>
      <c r="W77" s="37" t="s">
        <v>37</v>
      </c>
      <c r="X77" s="37"/>
      <c r="Y77" s="37"/>
      <c r="Z77" s="37"/>
      <c r="AA77" s="37"/>
      <c r="AB77" s="36">
        <f>4000</f>
        <v>4000</v>
      </c>
      <c r="AC77" s="36"/>
    </row>
    <row r="78" spans="1:29" s="1" customFormat="1" ht="13.5" customHeight="1">
      <c r="A78" s="32" t="s">
        <v>139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 t="s">
        <v>103</v>
      </c>
      <c r="M78" s="33"/>
      <c r="N78" s="33"/>
      <c r="O78" s="33" t="s">
        <v>153</v>
      </c>
      <c r="P78" s="33"/>
      <c r="Q78" s="33"/>
      <c r="R78" s="34" t="s">
        <v>140</v>
      </c>
      <c r="S78" s="34"/>
      <c r="T78" s="35">
        <f>345029.5</f>
        <v>345029.5</v>
      </c>
      <c r="U78" s="35"/>
      <c r="V78" s="35"/>
      <c r="W78" s="35">
        <f>343897.77</f>
        <v>343897.77</v>
      </c>
      <c r="X78" s="35"/>
      <c r="Y78" s="35"/>
      <c r="Z78" s="35"/>
      <c r="AA78" s="35"/>
      <c r="AB78" s="36">
        <f>1131.73</f>
        <v>1131.73</v>
      </c>
      <c r="AC78" s="36"/>
    </row>
    <row r="79" spans="1:29" s="1" customFormat="1" ht="13.5" customHeight="1">
      <c r="A79" s="32" t="s">
        <v>136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3" t="s">
        <v>103</v>
      </c>
      <c r="M79" s="33"/>
      <c r="N79" s="33"/>
      <c r="O79" s="33" t="s">
        <v>154</v>
      </c>
      <c r="P79" s="33"/>
      <c r="Q79" s="33"/>
      <c r="R79" s="34" t="s">
        <v>138</v>
      </c>
      <c r="S79" s="34"/>
      <c r="T79" s="35">
        <f>75000</f>
        <v>75000</v>
      </c>
      <c r="U79" s="35"/>
      <c r="V79" s="35"/>
      <c r="W79" s="35">
        <f>62879.26</f>
        <v>62879.26</v>
      </c>
      <c r="X79" s="35"/>
      <c r="Y79" s="35"/>
      <c r="Z79" s="35"/>
      <c r="AA79" s="35"/>
      <c r="AB79" s="36">
        <f>12120.74</f>
        <v>12120.74</v>
      </c>
      <c r="AC79" s="36"/>
    </row>
    <row r="80" spans="1:29" s="1" customFormat="1" ht="13.5" customHeight="1">
      <c r="A80" s="32" t="s">
        <v>139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 t="s">
        <v>103</v>
      </c>
      <c r="M80" s="33"/>
      <c r="N80" s="33"/>
      <c r="O80" s="33" t="s">
        <v>154</v>
      </c>
      <c r="P80" s="33"/>
      <c r="Q80" s="33"/>
      <c r="R80" s="34" t="s">
        <v>140</v>
      </c>
      <c r="S80" s="34"/>
      <c r="T80" s="35">
        <f>7074.19</f>
        <v>7074.19</v>
      </c>
      <c r="U80" s="35"/>
      <c r="V80" s="35"/>
      <c r="W80" s="35">
        <f>7074.19</f>
        <v>7074.19</v>
      </c>
      <c r="X80" s="35"/>
      <c r="Y80" s="35"/>
      <c r="Z80" s="35"/>
      <c r="AA80" s="35"/>
      <c r="AB80" s="36">
        <f>0</f>
        <v>0</v>
      </c>
      <c r="AC80" s="36"/>
    </row>
    <row r="81" spans="1:29" s="1" customFormat="1" ht="13.5" customHeight="1">
      <c r="A81" s="32" t="s">
        <v>141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 t="s">
        <v>103</v>
      </c>
      <c r="M81" s="33"/>
      <c r="N81" s="33"/>
      <c r="O81" s="33" t="s">
        <v>154</v>
      </c>
      <c r="P81" s="33"/>
      <c r="Q81" s="33"/>
      <c r="R81" s="34" t="s">
        <v>142</v>
      </c>
      <c r="S81" s="34"/>
      <c r="T81" s="35">
        <f>70059.71</f>
        <v>70059.71</v>
      </c>
      <c r="U81" s="35"/>
      <c r="V81" s="35"/>
      <c r="W81" s="37" t="s">
        <v>37</v>
      </c>
      <c r="X81" s="37"/>
      <c r="Y81" s="37"/>
      <c r="Z81" s="37"/>
      <c r="AA81" s="37"/>
      <c r="AB81" s="36">
        <f>70059.71</f>
        <v>70059.71</v>
      </c>
      <c r="AC81" s="36"/>
    </row>
    <row r="82" spans="1:29" s="1" customFormat="1" ht="13.5" customHeight="1">
      <c r="A82" s="32" t="s">
        <v>116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3" t="s">
        <v>103</v>
      </c>
      <c r="M82" s="33"/>
      <c r="N82" s="33"/>
      <c r="O82" s="33" t="s">
        <v>154</v>
      </c>
      <c r="P82" s="33"/>
      <c r="Q82" s="33"/>
      <c r="R82" s="34" t="s">
        <v>117</v>
      </c>
      <c r="S82" s="34"/>
      <c r="T82" s="35">
        <f>46544</f>
        <v>46544</v>
      </c>
      <c r="U82" s="35"/>
      <c r="V82" s="35"/>
      <c r="W82" s="35">
        <f>22100</f>
        <v>22100</v>
      </c>
      <c r="X82" s="35"/>
      <c r="Y82" s="35"/>
      <c r="Z82" s="35"/>
      <c r="AA82" s="35"/>
      <c r="AB82" s="36">
        <f>24444</f>
        <v>24444</v>
      </c>
      <c r="AC82" s="36"/>
    </row>
    <row r="83" spans="1:29" s="1" customFormat="1" ht="13.5" customHeight="1">
      <c r="A83" s="32" t="s">
        <v>155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 t="s">
        <v>103</v>
      </c>
      <c r="M83" s="33"/>
      <c r="N83" s="33"/>
      <c r="O83" s="33" t="s">
        <v>154</v>
      </c>
      <c r="P83" s="33"/>
      <c r="Q83" s="33"/>
      <c r="R83" s="34" t="s">
        <v>156</v>
      </c>
      <c r="S83" s="34"/>
      <c r="T83" s="35">
        <f>8706</f>
        <v>8706</v>
      </c>
      <c r="U83" s="35"/>
      <c r="V83" s="35"/>
      <c r="W83" s="35">
        <f>8239.46</f>
        <v>8239.46</v>
      </c>
      <c r="X83" s="35"/>
      <c r="Y83" s="35"/>
      <c r="Z83" s="35"/>
      <c r="AA83" s="35"/>
      <c r="AB83" s="36">
        <f>466.54</f>
        <v>466.54</v>
      </c>
      <c r="AC83" s="36"/>
    </row>
    <row r="84" spans="1:29" s="1" customFormat="1" ht="13.5" customHeight="1">
      <c r="A84" s="32" t="s">
        <v>143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3" t="s">
        <v>103</v>
      </c>
      <c r="M84" s="33"/>
      <c r="N84" s="33"/>
      <c r="O84" s="33" t="s">
        <v>154</v>
      </c>
      <c r="P84" s="33"/>
      <c r="Q84" s="33"/>
      <c r="R84" s="34" t="s">
        <v>144</v>
      </c>
      <c r="S84" s="34"/>
      <c r="T84" s="35">
        <f>3600</f>
        <v>3600</v>
      </c>
      <c r="U84" s="35"/>
      <c r="V84" s="35"/>
      <c r="W84" s="35">
        <f>3600</f>
        <v>3600</v>
      </c>
      <c r="X84" s="35"/>
      <c r="Y84" s="35"/>
      <c r="Z84" s="35"/>
      <c r="AA84" s="35"/>
      <c r="AB84" s="36">
        <f>0</f>
        <v>0</v>
      </c>
      <c r="AC84" s="36"/>
    </row>
    <row r="85" spans="1:29" s="1" customFormat="1" ht="13.5" customHeight="1">
      <c r="A85" s="32" t="s">
        <v>157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3" t="s">
        <v>103</v>
      </c>
      <c r="M85" s="33"/>
      <c r="N85" s="33"/>
      <c r="O85" s="33" t="s">
        <v>154</v>
      </c>
      <c r="P85" s="33"/>
      <c r="Q85" s="33"/>
      <c r="R85" s="34" t="s">
        <v>158</v>
      </c>
      <c r="S85" s="34"/>
      <c r="T85" s="35">
        <f>64100</f>
        <v>64100</v>
      </c>
      <c r="U85" s="35"/>
      <c r="V85" s="35"/>
      <c r="W85" s="35">
        <f>64100</f>
        <v>64100</v>
      </c>
      <c r="X85" s="35"/>
      <c r="Y85" s="35"/>
      <c r="Z85" s="35"/>
      <c r="AA85" s="35"/>
      <c r="AB85" s="36">
        <f>0</f>
        <v>0</v>
      </c>
      <c r="AC85" s="36"/>
    </row>
    <row r="86" spans="1:29" s="1" customFormat="1" ht="24" customHeight="1">
      <c r="A86" s="32" t="s">
        <v>145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3" t="s">
        <v>103</v>
      </c>
      <c r="M86" s="33"/>
      <c r="N86" s="33"/>
      <c r="O86" s="33" t="s">
        <v>154</v>
      </c>
      <c r="P86" s="33"/>
      <c r="Q86" s="33"/>
      <c r="R86" s="34" t="s">
        <v>146</v>
      </c>
      <c r="S86" s="34"/>
      <c r="T86" s="35">
        <f>3540</f>
        <v>3540</v>
      </c>
      <c r="U86" s="35"/>
      <c r="V86" s="35"/>
      <c r="W86" s="35">
        <f>3540</f>
        <v>3540</v>
      </c>
      <c r="X86" s="35"/>
      <c r="Y86" s="35"/>
      <c r="Z86" s="35"/>
      <c r="AA86" s="35"/>
      <c r="AB86" s="36">
        <f>0</f>
        <v>0</v>
      </c>
      <c r="AC86" s="36"/>
    </row>
    <row r="87" spans="1:29" s="1" customFormat="1" ht="13.5" customHeight="1">
      <c r="A87" s="32" t="s">
        <v>151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3" t="s">
        <v>103</v>
      </c>
      <c r="M87" s="33"/>
      <c r="N87" s="33"/>
      <c r="O87" s="33" t="s">
        <v>154</v>
      </c>
      <c r="P87" s="33"/>
      <c r="Q87" s="33"/>
      <c r="R87" s="34" t="s">
        <v>152</v>
      </c>
      <c r="S87" s="34"/>
      <c r="T87" s="35">
        <f>9975</f>
        <v>9975</v>
      </c>
      <c r="U87" s="35"/>
      <c r="V87" s="35"/>
      <c r="W87" s="35">
        <f>9975</f>
        <v>9975</v>
      </c>
      <c r="X87" s="35"/>
      <c r="Y87" s="35"/>
      <c r="Z87" s="35"/>
      <c r="AA87" s="35"/>
      <c r="AB87" s="36">
        <f>0</f>
        <v>0</v>
      </c>
      <c r="AC87" s="36"/>
    </row>
    <row r="88" spans="1:29" s="1" customFormat="1" ht="13.5" customHeight="1">
      <c r="A88" s="32" t="s">
        <v>159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3" t="s">
        <v>103</v>
      </c>
      <c r="M88" s="33"/>
      <c r="N88" s="33"/>
      <c r="O88" s="33" t="s">
        <v>160</v>
      </c>
      <c r="P88" s="33"/>
      <c r="Q88" s="33"/>
      <c r="R88" s="34" t="s">
        <v>161</v>
      </c>
      <c r="S88" s="34"/>
      <c r="T88" s="35">
        <f>0</f>
        <v>0</v>
      </c>
      <c r="U88" s="35"/>
      <c r="V88" s="35"/>
      <c r="W88" s="37" t="s">
        <v>37</v>
      </c>
      <c r="X88" s="37"/>
      <c r="Y88" s="37"/>
      <c r="Z88" s="37"/>
      <c r="AA88" s="37"/>
      <c r="AB88" s="38" t="s">
        <v>37</v>
      </c>
      <c r="AC88" s="38"/>
    </row>
    <row r="89" spans="1:29" s="1" customFormat="1" ht="13.5" customHeight="1">
      <c r="A89" s="32" t="s">
        <v>159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3" t="s">
        <v>103</v>
      </c>
      <c r="M89" s="33"/>
      <c r="N89" s="33"/>
      <c r="O89" s="33" t="s">
        <v>162</v>
      </c>
      <c r="P89" s="33"/>
      <c r="Q89" s="33"/>
      <c r="R89" s="34" t="s">
        <v>161</v>
      </c>
      <c r="S89" s="34"/>
      <c r="T89" s="35">
        <f>20000</f>
        <v>20000</v>
      </c>
      <c r="U89" s="35"/>
      <c r="V89" s="35"/>
      <c r="W89" s="35">
        <f>20000</f>
        <v>20000</v>
      </c>
      <c r="X89" s="35"/>
      <c r="Y89" s="35"/>
      <c r="Z89" s="35"/>
      <c r="AA89" s="35"/>
      <c r="AB89" s="36">
        <f>0</f>
        <v>0</v>
      </c>
      <c r="AC89" s="36"/>
    </row>
    <row r="90" spans="1:29" s="1" customFormat="1" ht="13.5" customHeight="1">
      <c r="A90" s="32" t="s">
        <v>163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3" t="s">
        <v>103</v>
      </c>
      <c r="M90" s="33"/>
      <c r="N90" s="33"/>
      <c r="O90" s="33" t="s">
        <v>164</v>
      </c>
      <c r="P90" s="33"/>
      <c r="Q90" s="33"/>
      <c r="R90" s="34" t="s">
        <v>165</v>
      </c>
      <c r="S90" s="34"/>
      <c r="T90" s="35">
        <f>0</f>
        <v>0</v>
      </c>
      <c r="U90" s="35"/>
      <c r="V90" s="35"/>
      <c r="W90" s="37" t="s">
        <v>37</v>
      </c>
      <c r="X90" s="37"/>
      <c r="Y90" s="37"/>
      <c r="Z90" s="37"/>
      <c r="AA90" s="37"/>
      <c r="AB90" s="38" t="s">
        <v>37</v>
      </c>
      <c r="AC90" s="38"/>
    </row>
    <row r="91" spans="1:29" s="1" customFormat="1" ht="13.5" customHeight="1">
      <c r="A91" s="32" t="s">
        <v>166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3" t="s">
        <v>103</v>
      </c>
      <c r="M91" s="33"/>
      <c r="N91" s="33"/>
      <c r="O91" s="33" t="s">
        <v>167</v>
      </c>
      <c r="P91" s="33"/>
      <c r="Q91" s="33"/>
      <c r="R91" s="34" t="s">
        <v>168</v>
      </c>
      <c r="S91" s="34"/>
      <c r="T91" s="35">
        <f>450000</f>
        <v>450000</v>
      </c>
      <c r="U91" s="35"/>
      <c r="V91" s="35"/>
      <c r="W91" s="35">
        <f>450000</f>
        <v>450000</v>
      </c>
      <c r="X91" s="35"/>
      <c r="Y91" s="35"/>
      <c r="Z91" s="35"/>
      <c r="AA91" s="35"/>
      <c r="AB91" s="36">
        <f>0</f>
        <v>0</v>
      </c>
      <c r="AC91" s="36"/>
    </row>
    <row r="92" spans="1:29" s="1" customFormat="1" ht="13.5" customHeight="1">
      <c r="A92" s="32" t="s">
        <v>163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3" t="s">
        <v>103</v>
      </c>
      <c r="M92" s="33"/>
      <c r="N92" s="33"/>
      <c r="O92" s="33" t="s">
        <v>169</v>
      </c>
      <c r="P92" s="33"/>
      <c r="Q92" s="33"/>
      <c r="R92" s="34" t="s">
        <v>165</v>
      </c>
      <c r="S92" s="34"/>
      <c r="T92" s="35">
        <f>0</f>
        <v>0</v>
      </c>
      <c r="U92" s="35"/>
      <c r="V92" s="35"/>
      <c r="W92" s="37" t="s">
        <v>37</v>
      </c>
      <c r="X92" s="37"/>
      <c r="Y92" s="37"/>
      <c r="Z92" s="37"/>
      <c r="AA92" s="37"/>
      <c r="AB92" s="38" t="s">
        <v>37</v>
      </c>
      <c r="AC92" s="38"/>
    </row>
    <row r="93" spans="1:29" s="1" customFormat="1" ht="24" customHeight="1">
      <c r="A93" s="32" t="s">
        <v>170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3" t="s">
        <v>103</v>
      </c>
      <c r="M93" s="33"/>
      <c r="N93" s="33"/>
      <c r="O93" s="33" t="s">
        <v>169</v>
      </c>
      <c r="P93" s="33"/>
      <c r="Q93" s="33"/>
      <c r="R93" s="34" t="s">
        <v>171</v>
      </c>
      <c r="S93" s="34"/>
      <c r="T93" s="35">
        <f>122716.3</f>
        <v>122716.3</v>
      </c>
      <c r="U93" s="35"/>
      <c r="V93" s="35"/>
      <c r="W93" s="35">
        <f>122716.3</f>
        <v>122716.3</v>
      </c>
      <c r="X93" s="35"/>
      <c r="Y93" s="35"/>
      <c r="Z93" s="35"/>
      <c r="AA93" s="35"/>
      <c r="AB93" s="36">
        <f>0</f>
        <v>0</v>
      </c>
      <c r="AC93" s="36"/>
    </row>
    <row r="94" spans="1:29" s="1" customFormat="1" ht="13.5" customHeight="1">
      <c r="A94" s="32" t="s">
        <v>104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3" t="s">
        <v>103</v>
      </c>
      <c r="M94" s="33"/>
      <c r="N94" s="33"/>
      <c r="O94" s="33" t="s">
        <v>172</v>
      </c>
      <c r="P94" s="33"/>
      <c r="Q94" s="33"/>
      <c r="R94" s="34" t="s">
        <v>106</v>
      </c>
      <c r="S94" s="34"/>
      <c r="T94" s="35">
        <f>356521.66</f>
        <v>356521.66</v>
      </c>
      <c r="U94" s="35"/>
      <c r="V94" s="35"/>
      <c r="W94" s="35">
        <f>356521.66</f>
        <v>356521.66</v>
      </c>
      <c r="X94" s="35"/>
      <c r="Y94" s="35"/>
      <c r="Z94" s="35"/>
      <c r="AA94" s="35"/>
      <c r="AB94" s="36">
        <f>0</f>
        <v>0</v>
      </c>
      <c r="AC94" s="36"/>
    </row>
    <row r="95" spans="1:29" s="1" customFormat="1" ht="13.5" customHeight="1">
      <c r="A95" s="32" t="s">
        <v>173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3" t="s">
        <v>103</v>
      </c>
      <c r="M95" s="33"/>
      <c r="N95" s="33"/>
      <c r="O95" s="33" t="s">
        <v>174</v>
      </c>
      <c r="P95" s="33"/>
      <c r="Q95" s="33"/>
      <c r="R95" s="34" t="s">
        <v>175</v>
      </c>
      <c r="S95" s="34"/>
      <c r="T95" s="35">
        <f>0</f>
        <v>0</v>
      </c>
      <c r="U95" s="35"/>
      <c r="V95" s="35"/>
      <c r="W95" s="37" t="s">
        <v>37</v>
      </c>
      <c r="X95" s="37"/>
      <c r="Y95" s="37"/>
      <c r="Z95" s="37"/>
      <c r="AA95" s="37"/>
      <c r="AB95" s="38" t="s">
        <v>37</v>
      </c>
      <c r="AC95" s="38"/>
    </row>
    <row r="96" spans="1:29" s="1" customFormat="1" ht="13.5" customHeight="1">
      <c r="A96" s="32" t="s">
        <v>116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3" t="s">
        <v>103</v>
      </c>
      <c r="M96" s="33"/>
      <c r="N96" s="33"/>
      <c r="O96" s="33" t="s">
        <v>174</v>
      </c>
      <c r="P96" s="33"/>
      <c r="Q96" s="33"/>
      <c r="R96" s="34" t="s">
        <v>117</v>
      </c>
      <c r="S96" s="34"/>
      <c r="T96" s="35">
        <f>2208.8</f>
        <v>2208.8</v>
      </c>
      <c r="U96" s="35"/>
      <c r="V96" s="35"/>
      <c r="W96" s="35">
        <f>2208.8</f>
        <v>2208.8</v>
      </c>
      <c r="X96" s="35"/>
      <c r="Y96" s="35"/>
      <c r="Z96" s="35"/>
      <c r="AA96" s="35"/>
      <c r="AB96" s="36">
        <f aca="true" t="shared" si="0" ref="AB96:AB103">0</f>
        <v>0</v>
      </c>
      <c r="AC96" s="36"/>
    </row>
    <row r="97" spans="1:29" s="1" customFormat="1" ht="13.5" customHeight="1">
      <c r="A97" s="32" t="s">
        <v>107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3" t="s">
        <v>103</v>
      </c>
      <c r="M97" s="33"/>
      <c r="N97" s="33"/>
      <c r="O97" s="33" t="s">
        <v>176</v>
      </c>
      <c r="P97" s="33"/>
      <c r="Q97" s="33"/>
      <c r="R97" s="34" t="s">
        <v>109</v>
      </c>
      <c r="S97" s="34"/>
      <c r="T97" s="35">
        <f>107669.54</f>
        <v>107669.54</v>
      </c>
      <c r="U97" s="35"/>
      <c r="V97" s="35"/>
      <c r="W97" s="35">
        <f>107669.54</f>
        <v>107669.54</v>
      </c>
      <c r="X97" s="35"/>
      <c r="Y97" s="35"/>
      <c r="Z97" s="35"/>
      <c r="AA97" s="35"/>
      <c r="AB97" s="36">
        <f t="shared" si="0"/>
        <v>0</v>
      </c>
      <c r="AC97" s="36"/>
    </row>
    <row r="98" spans="1:29" s="1" customFormat="1" ht="13.5" customHeight="1">
      <c r="A98" s="32" t="s">
        <v>104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3" t="s">
        <v>103</v>
      </c>
      <c r="M98" s="33"/>
      <c r="N98" s="33"/>
      <c r="O98" s="33" t="s">
        <v>177</v>
      </c>
      <c r="P98" s="33"/>
      <c r="Q98" s="33"/>
      <c r="R98" s="34" t="s">
        <v>106</v>
      </c>
      <c r="S98" s="34"/>
      <c r="T98" s="35">
        <f>49751.09</f>
        <v>49751.09</v>
      </c>
      <c r="U98" s="35"/>
      <c r="V98" s="35"/>
      <c r="W98" s="35">
        <f>49751.09</f>
        <v>49751.09</v>
      </c>
      <c r="X98" s="35"/>
      <c r="Y98" s="35"/>
      <c r="Z98" s="35"/>
      <c r="AA98" s="35"/>
      <c r="AB98" s="36">
        <f t="shared" si="0"/>
        <v>0</v>
      </c>
      <c r="AC98" s="36"/>
    </row>
    <row r="99" spans="1:29" s="1" customFormat="1" ht="13.5" customHeight="1">
      <c r="A99" s="32" t="s">
        <v>107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 t="s">
        <v>103</v>
      </c>
      <c r="M99" s="33"/>
      <c r="N99" s="33"/>
      <c r="O99" s="33" t="s">
        <v>178</v>
      </c>
      <c r="P99" s="33"/>
      <c r="Q99" s="33"/>
      <c r="R99" s="34" t="s">
        <v>109</v>
      </c>
      <c r="S99" s="34"/>
      <c r="T99" s="35">
        <f>15024.83</f>
        <v>15024.83</v>
      </c>
      <c r="U99" s="35"/>
      <c r="V99" s="35"/>
      <c r="W99" s="35">
        <f>15024.83</f>
        <v>15024.83</v>
      </c>
      <c r="X99" s="35"/>
      <c r="Y99" s="35"/>
      <c r="Z99" s="35"/>
      <c r="AA99" s="35"/>
      <c r="AB99" s="36">
        <f t="shared" si="0"/>
        <v>0</v>
      </c>
      <c r="AC99" s="36"/>
    </row>
    <row r="100" spans="1:29" s="1" customFormat="1" ht="13.5" customHeight="1">
      <c r="A100" s="32" t="s">
        <v>104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3" t="s">
        <v>103</v>
      </c>
      <c r="M100" s="33"/>
      <c r="N100" s="33"/>
      <c r="O100" s="33" t="s">
        <v>179</v>
      </c>
      <c r="P100" s="33"/>
      <c r="Q100" s="33"/>
      <c r="R100" s="34" t="s">
        <v>106</v>
      </c>
      <c r="S100" s="34"/>
      <c r="T100" s="35">
        <f>15072.23</f>
        <v>15072.23</v>
      </c>
      <c r="U100" s="35"/>
      <c r="V100" s="35"/>
      <c r="W100" s="35">
        <f>15072.23</f>
        <v>15072.23</v>
      </c>
      <c r="X100" s="35"/>
      <c r="Y100" s="35"/>
      <c r="Z100" s="35"/>
      <c r="AA100" s="35"/>
      <c r="AB100" s="36">
        <f t="shared" si="0"/>
        <v>0</v>
      </c>
      <c r="AC100" s="36"/>
    </row>
    <row r="101" spans="1:29" s="1" customFormat="1" ht="13.5" customHeight="1">
      <c r="A101" s="32" t="s">
        <v>107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3" t="s">
        <v>103</v>
      </c>
      <c r="M101" s="33"/>
      <c r="N101" s="33"/>
      <c r="O101" s="33" t="s">
        <v>180</v>
      </c>
      <c r="P101" s="33"/>
      <c r="Q101" s="33"/>
      <c r="R101" s="34" t="s">
        <v>109</v>
      </c>
      <c r="S101" s="34"/>
      <c r="T101" s="35">
        <f>4551.79</f>
        <v>4551.79</v>
      </c>
      <c r="U101" s="35"/>
      <c r="V101" s="35"/>
      <c r="W101" s="35">
        <f>4551.79</f>
        <v>4551.79</v>
      </c>
      <c r="X101" s="35"/>
      <c r="Y101" s="35"/>
      <c r="Z101" s="35"/>
      <c r="AA101" s="35"/>
      <c r="AB101" s="36">
        <f t="shared" si="0"/>
        <v>0</v>
      </c>
      <c r="AC101" s="36"/>
    </row>
    <row r="102" spans="1:29" s="1" customFormat="1" ht="24" customHeight="1">
      <c r="A102" s="32" t="s">
        <v>130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 t="s">
        <v>103</v>
      </c>
      <c r="M102" s="33"/>
      <c r="N102" s="33"/>
      <c r="O102" s="33" t="s">
        <v>181</v>
      </c>
      <c r="P102" s="33"/>
      <c r="Q102" s="33"/>
      <c r="R102" s="34" t="s">
        <v>132</v>
      </c>
      <c r="S102" s="34"/>
      <c r="T102" s="35">
        <f>10000</f>
        <v>10000</v>
      </c>
      <c r="U102" s="35"/>
      <c r="V102" s="35"/>
      <c r="W102" s="35">
        <f>10000</f>
        <v>10000</v>
      </c>
      <c r="X102" s="35"/>
      <c r="Y102" s="35"/>
      <c r="Z102" s="35"/>
      <c r="AA102" s="35"/>
      <c r="AB102" s="36">
        <f t="shared" si="0"/>
        <v>0</v>
      </c>
      <c r="AC102" s="36"/>
    </row>
    <row r="103" spans="1:29" s="1" customFormat="1" ht="24" customHeight="1">
      <c r="A103" s="32" t="s">
        <v>130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3" t="s">
        <v>103</v>
      </c>
      <c r="M103" s="33"/>
      <c r="N103" s="33"/>
      <c r="O103" s="33" t="s">
        <v>182</v>
      </c>
      <c r="P103" s="33"/>
      <c r="Q103" s="33"/>
      <c r="R103" s="34" t="s">
        <v>132</v>
      </c>
      <c r="S103" s="34"/>
      <c r="T103" s="35">
        <f>10000</f>
        <v>10000</v>
      </c>
      <c r="U103" s="35"/>
      <c r="V103" s="35"/>
      <c r="W103" s="35">
        <f>10000</f>
        <v>10000</v>
      </c>
      <c r="X103" s="35"/>
      <c r="Y103" s="35"/>
      <c r="Z103" s="35"/>
      <c r="AA103" s="35"/>
      <c r="AB103" s="36">
        <f t="shared" si="0"/>
        <v>0</v>
      </c>
      <c r="AC103" s="36"/>
    </row>
    <row r="104" spans="1:29" s="1" customFormat="1" ht="13.5" customHeight="1">
      <c r="A104" s="32" t="s">
        <v>116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3" t="s">
        <v>103</v>
      </c>
      <c r="M104" s="33"/>
      <c r="N104" s="33"/>
      <c r="O104" s="33" t="s">
        <v>183</v>
      </c>
      <c r="P104" s="33"/>
      <c r="Q104" s="33"/>
      <c r="R104" s="34" t="s">
        <v>117</v>
      </c>
      <c r="S104" s="34"/>
      <c r="T104" s="35">
        <f>0</f>
        <v>0</v>
      </c>
      <c r="U104" s="35"/>
      <c r="V104" s="35"/>
      <c r="W104" s="37" t="s">
        <v>37</v>
      </c>
      <c r="X104" s="37"/>
      <c r="Y104" s="37"/>
      <c r="Z104" s="37"/>
      <c r="AA104" s="37"/>
      <c r="AB104" s="38" t="s">
        <v>37</v>
      </c>
      <c r="AC104" s="38"/>
    </row>
    <row r="105" spans="1:29" s="1" customFormat="1" ht="13.5" customHeight="1">
      <c r="A105" s="32" t="s">
        <v>116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3" t="s">
        <v>103</v>
      </c>
      <c r="M105" s="33"/>
      <c r="N105" s="33"/>
      <c r="O105" s="33" t="s">
        <v>184</v>
      </c>
      <c r="P105" s="33"/>
      <c r="Q105" s="33"/>
      <c r="R105" s="34" t="s">
        <v>117</v>
      </c>
      <c r="S105" s="34"/>
      <c r="T105" s="35">
        <f>22660.21</f>
        <v>22660.21</v>
      </c>
      <c r="U105" s="35"/>
      <c r="V105" s="35"/>
      <c r="W105" s="35">
        <f>22660.21</f>
        <v>22660.21</v>
      </c>
      <c r="X105" s="35"/>
      <c r="Y105" s="35"/>
      <c r="Z105" s="35"/>
      <c r="AA105" s="35"/>
      <c r="AB105" s="36">
        <f>0</f>
        <v>0</v>
      </c>
      <c r="AC105" s="36"/>
    </row>
    <row r="106" spans="1:29" s="1" customFormat="1" ht="13.5" customHeight="1">
      <c r="A106" s="32" t="s">
        <v>155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3" t="s">
        <v>103</v>
      </c>
      <c r="M106" s="33"/>
      <c r="N106" s="33"/>
      <c r="O106" s="33" t="s">
        <v>185</v>
      </c>
      <c r="P106" s="33"/>
      <c r="Q106" s="33"/>
      <c r="R106" s="34" t="s">
        <v>156</v>
      </c>
      <c r="S106" s="34"/>
      <c r="T106" s="35">
        <f>999.79</f>
        <v>999.79</v>
      </c>
      <c r="U106" s="35"/>
      <c r="V106" s="35"/>
      <c r="W106" s="35">
        <f>999.79</f>
        <v>999.79</v>
      </c>
      <c r="X106" s="35"/>
      <c r="Y106" s="35"/>
      <c r="Z106" s="35"/>
      <c r="AA106" s="35"/>
      <c r="AB106" s="36">
        <f>0</f>
        <v>0</v>
      </c>
      <c r="AC106" s="36"/>
    </row>
    <row r="107" spans="1:29" s="1" customFormat="1" ht="13.5" customHeight="1">
      <c r="A107" s="32" t="s">
        <v>116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3" t="s">
        <v>103</v>
      </c>
      <c r="M107" s="33"/>
      <c r="N107" s="33"/>
      <c r="O107" s="33" t="s">
        <v>186</v>
      </c>
      <c r="P107" s="33"/>
      <c r="Q107" s="33"/>
      <c r="R107" s="34" t="s">
        <v>117</v>
      </c>
      <c r="S107" s="34"/>
      <c r="T107" s="35">
        <f>5665.05</f>
        <v>5665.05</v>
      </c>
      <c r="U107" s="35"/>
      <c r="V107" s="35"/>
      <c r="W107" s="35">
        <f>5665.05</f>
        <v>5665.05</v>
      </c>
      <c r="X107" s="35"/>
      <c r="Y107" s="35"/>
      <c r="Z107" s="35"/>
      <c r="AA107" s="35"/>
      <c r="AB107" s="36">
        <f>0</f>
        <v>0</v>
      </c>
      <c r="AC107" s="36"/>
    </row>
    <row r="108" spans="1:29" s="1" customFormat="1" ht="13.5" customHeight="1">
      <c r="A108" s="32" t="s">
        <v>155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3" t="s">
        <v>103</v>
      </c>
      <c r="M108" s="33"/>
      <c r="N108" s="33"/>
      <c r="O108" s="33" t="s">
        <v>187</v>
      </c>
      <c r="P108" s="33"/>
      <c r="Q108" s="33"/>
      <c r="R108" s="34" t="s">
        <v>156</v>
      </c>
      <c r="S108" s="34"/>
      <c r="T108" s="35">
        <f>249.95</f>
        <v>249.95</v>
      </c>
      <c r="U108" s="35"/>
      <c r="V108" s="35"/>
      <c r="W108" s="35">
        <f>249.95</f>
        <v>249.95</v>
      </c>
      <c r="X108" s="35"/>
      <c r="Y108" s="35"/>
      <c r="Z108" s="35"/>
      <c r="AA108" s="35"/>
      <c r="AB108" s="36">
        <f>0</f>
        <v>0</v>
      </c>
      <c r="AC108" s="36"/>
    </row>
    <row r="109" spans="1:29" s="1" customFormat="1" ht="13.5" customHeight="1">
      <c r="A109" s="32" t="s">
        <v>104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3" t="s">
        <v>103</v>
      </c>
      <c r="M109" s="33"/>
      <c r="N109" s="33"/>
      <c r="O109" s="33" t="s">
        <v>188</v>
      </c>
      <c r="P109" s="33"/>
      <c r="Q109" s="33"/>
      <c r="R109" s="34" t="s">
        <v>106</v>
      </c>
      <c r="S109" s="34"/>
      <c r="T109" s="35">
        <f>256482.73</f>
        <v>256482.73</v>
      </c>
      <c r="U109" s="35"/>
      <c r="V109" s="35"/>
      <c r="W109" s="35">
        <f>104158.65</f>
        <v>104158.65</v>
      </c>
      <c r="X109" s="35"/>
      <c r="Y109" s="35"/>
      <c r="Z109" s="35"/>
      <c r="AA109" s="35"/>
      <c r="AB109" s="36">
        <f>152324.08</f>
        <v>152324.08</v>
      </c>
      <c r="AC109" s="36"/>
    </row>
    <row r="110" spans="1:29" s="1" customFormat="1" ht="13.5" customHeight="1">
      <c r="A110" s="32" t="s">
        <v>107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3" t="s">
        <v>103</v>
      </c>
      <c r="M110" s="33"/>
      <c r="N110" s="33"/>
      <c r="O110" s="33" t="s">
        <v>189</v>
      </c>
      <c r="P110" s="33"/>
      <c r="Q110" s="33"/>
      <c r="R110" s="34" t="s">
        <v>109</v>
      </c>
      <c r="S110" s="34"/>
      <c r="T110" s="35">
        <f>78262.66</f>
        <v>78262.66</v>
      </c>
      <c r="U110" s="35"/>
      <c r="V110" s="35"/>
      <c r="W110" s="35">
        <f>31422.02</f>
        <v>31422.02</v>
      </c>
      <c r="X110" s="35"/>
      <c r="Y110" s="35"/>
      <c r="Z110" s="35"/>
      <c r="AA110" s="35"/>
      <c r="AB110" s="36">
        <f>46840.64</f>
        <v>46840.64</v>
      </c>
      <c r="AC110" s="36"/>
    </row>
    <row r="111" spans="1:29" s="1" customFormat="1" ht="13.5" customHeight="1">
      <c r="A111" s="32" t="s">
        <v>104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3" t="s">
        <v>103</v>
      </c>
      <c r="M111" s="33"/>
      <c r="N111" s="33"/>
      <c r="O111" s="33" t="s">
        <v>190</v>
      </c>
      <c r="P111" s="33"/>
      <c r="Q111" s="33"/>
      <c r="R111" s="34" t="s">
        <v>106</v>
      </c>
      <c r="S111" s="34"/>
      <c r="T111" s="35">
        <f>1232494.8</f>
        <v>1232494.8</v>
      </c>
      <c r="U111" s="35"/>
      <c r="V111" s="35"/>
      <c r="W111" s="35">
        <f>1232492.61</f>
        <v>1232492.61</v>
      </c>
      <c r="X111" s="35"/>
      <c r="Y111" s="35"/>
      <c r="Z111" s="35"/>
      <c r="AA111" s="35"/>
      <c r="AB111" s="36">
        <f>2.19</f>
        <v>2.19</v>
      </c>
      <c r="AC111" s="36"/>
    </row>
    <row r="112" spans="1:29" s="1" customFormat="1" ht="13.5" customHeight="1">
      <c r="A112" s="32" t="s">
        <v>107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3" t="s">
        <v>103</v>
      </c>
      <c r="M112" s="33"/>
      <c r="N112" s="33"/>
      <c r="O112" s="33" t="s">
        <v>191</v>
      </c>
      <c r="P112" s="33"/>
      <c r="Q112" s="33"/>
      <c r="R112" s="34" t="s">
        <v>109</v>
      </c>
      <c r="S112" s="34"/>
      <c r="T112" s="35">
        <f>372213.2</f>
        <v>372213.2</v>
      </c>
      <c r="U112" s="35"/>
      <c r="V112" s="35"/>
      <c r="W112" s="35">
        <f>372212.7</f>
        <v>372212.7</v>
      </c>
      <c r="X112" s="35"/>
      <c r="Y112" s="35"/>
      <c r="Z112" s="35"/>
      <c r="AA112" s="35"/>
      <c r="AB112" s="36">
        <f>0.5</f>
        <v>0.5</v>
      </c>
      <c r="AC112" s="36"/>
    </row>
    <row r="113" spans="1:29" s="1" customFormat="1" ht="13.5" customHeight="1">
      <c r="A113" s="32" t="s">
        <v>104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3" t="s">
        <v>103</v>
      </c>
      <c r="M113" s="33"/>
      <c r="N113" s="33"/>
      <c r="O113" s="33" t="s">
        <v>192</v>
      </c>
      <c r="P113" s="33"/>
      <c r="Q113" s="33"/>
      <c r="R113" s="34" t="s">
        <v>106</v>
      </c>
      <c r="S113" s="34"/>
      <c r="T113" s="35">
        <f>0</f>
        <v>0</v>
      </c>
      <c r="U113" s="35"/>
      <c r="V113" s="35"/>
      <c r="W113" s="37" t="s">
        <v>37</v>
      </c>
      <c r="X113" s="37"/>
      <c r="Y113" s="37"/>
      <c r="Z113" s="37"/>
      <c r="AA113" s="37"/>
      <c r="AB113" s="38" t="s">
        <v>37</v>
      </c>
      <c r="AC113" s="38"/>
    </row>
    <row r="114" spans="1:29" s="1" customFormat="1" ht="13.5" customHeight="1">
      <c r="A114" s="32" t="s">
        <v>107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3" t="s">
        <v>103</v>
      </c>
      <c r="M114" s="33"/>
      <c r="N114" s="33"/>
      <c r="O114" s="33" t="s">
        <v>193</v>
      </c>
      <c r="P114" s="33"/>
      <c r="Q114" s="33"/>
      <c r="R114" s="34" t="s">
        <v>109</v>
      </c>
      <c r="S114" s="34"/>
      <c r="T114" s="35">
        <f>0</f>
        <v>0</v>
      </c>
      <c r="U114" s="35"/>
      <c r="V114" s="35"/>
      <c r="W114" s="37" t="s">
        <v>37</v>
      </c>
      <c r="X114" s="37"/>
      <c r="Y114" s="37"/>
      <c r="Z114" s="37"/>
      <c r="AA114" s="37"/>
      <c r="AB114" s="38" t="s">
        <v>37</v>
      </c>
      <c r="AC114" s="38"/>
    </row>
    <row r="115" spans="1:29" s="1" customFormat="1" ht="13.5" customHeight="1">
      <c r="A115" s="32" t="s">
        <v>104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3" t="s">
        <v>103</v>
      </c>
      <c r="M115" s="33"/>
      <c r="N115" s="33"/>
      <c r="O115" s="33" t="s">
        <v>194</v>
      </c>
      <c r="P115" s="33"/>
      <c r="Q115" s="33"/>
      <c r="R115" s="34" t="s">
        <v>106</v>
      </c>
      <c r="S115" s="34"/>
      <c r="T115" s="35">
        <f>151.12</f>
        <v>151.12</v>
      </c>
      <c r="U115" s="35"/>
      <c r="V115" s="35"/>
      <c r="W115" s="35">
        <f>151.12</f>
        <v>151.12</v>
      </c>
      <c r="X115" s="35"/>
      <c r="Y115" s="35"/>
      <c r="Z115" s="35"/>
      <c r="AA115" s="35"/>
      <c r="AB115" s="36">
        <f>0</f>
        <v>0</v>
      </c>
      <c r="AC115" s="36"/>
    </row>
    <row r="116" spans="1:29" s="1" customFormat="1" ht="13.5" customHeight="1">
      <c r="A116" s="32" t="s">
        <v>107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3" t="s">
        <v>103</v>
      </c>
      <c r="M116" s="33"/>
      <c r="N116" s="33"/>
      <c r="O116" s="33" t="s">
        <v>195</v>
      </c>
      <c r="P116" s="33"/>
      <c r="Q116" s="33"/>
      <c r="R116" s="34" t="s">
        <v>109</v>
      </c>
      <c r="S116" s="34"/>
      <c r="T116" s="35">
        <f>45.64</f>
        <v>45.64</v>
      </c>
      <c r="U116" s="35"/>
      <c r="V116" s="35"/>
      <c r="W116" s="35">
        <f>45.64</f>
        <v>45.64</v>
      </c>
      <c r="X116" s="35"/>
      <c r="Y116" s="35"/>
      <c r="Z116" s="35"/>
      <c r="AA116" s="35"/>
      <c r="AB116" s="36">
        <f>0</f>
        <v>0</v>
      </c>
      <c r="AC116" s="36"/>
    </row>
    <row r="117" spans="1:29" s="1" customFormat="1" ht="13.5" customHeight="1">
      <c r="A117" s="32" t="s">
        <v>116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3" t="s">
        <v>103</v>
      </c>
      <c r="M117" s="33"/>
      <c r="N117" s="33"/>
      <c r="O117" s="33" t="s">
        <v>196</v>
      </c>
      <c r="P117" s="33"/>
      <c r="Q117" s="33"/>
      <c r="R117" s="34" t="s">
        <v>117</v>
      </c>
      <c r="S117" s="34"/>
      <c r="T117" s="35">
        <f>19488.95</f>
        <v>19488.95</v>
      </c>
      <c r="U117" s="35"/>
      <c r="V117" s="35"/>
      <c r="W117" s="35">
        <f>19488.95</f>
        <v>19488.95</v>
      </c>
      <c r="X117" s="35"/>
      <c r="Y117" s="35"/>
      <c r="Z117" s="35"/>
      <c r="AA117" s="35"/>
      <c r="AB117" s="36">
        <f>0</f>
        <v>0</v>
      </c>
      <c r="AC117" s="36"/>
    </row>
    <row r="118" spans="1:29" s="1" customFormat="1" ht="13.5" customHeight="1">
      <c r="A118" s="32" t="s">
        <v>116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3" t="s">
        <v>103</v>
      </c>
      <c r="M118" s="33"/>
      <c r="N118" s="33"/>
      <c r="O118" s="33" t="s">
        <v>197</v>
      </c>
      <c r="P118" s="33"/>
      <c r="Q118" s="33"/>
      <c r="R118" s="34" t="s">
        <v>117</v>
      </c>
      <c r="S118" s="34"/>
      <c r="T118" s="35">
        <f>10511.05</f>
        <v>10511.05</v>
      </c>
      <c r="U118" s="35"/>
      <c r="V118" s="35"/>
      <c r="W118" s="35">
        <f>10511.05</f>
        <v>10511.05</v>
      </c>
      <c r="X118" s="35"/>
      <c r="Y118" s="35"/>
      <c r="Z118" s="35"/>
      <c r="AA118" s="35"/>
      <c r="AB118" s="36">
        <f>0</f>
        <v>0</v>
      </c>
      <c r="AC118" s="36"/>
    </row>
    <row r="119" spans="1:29" s="1" customFormat="1" ht="13.5" customHeight="1">
      <c r="A119" s="32" t="s">
        <v>141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3" t="s">
        <v>103</v>
      </c>
      <c r="M119" s="33"/>
      <c r="N119" s="33"/>
      <c r="O119" s="33" t="s">
        <v>198</v>
      </c>
      <c r="P119" s="33"/>
      <c r="Q119" s="33"/>
      <c r="R119" s="34" t="s">
        <v>142</v>
      </c>
      <c r="S119" s="34"/>
      <c r="T119" s="35">
        <f>1400000</f>
        <v>1400000</v>
      </c>
      <c r="U119" s="35"/>
      <c r="V119" s="35"/>
      <c r="W119" s="35">
        <f>1199995</f>
        <v>1199995</v>
      </c>
      <c r="X119" s="35"/>
      <c r="Y119" s="35"/>
      <c r="Z119" s="35"/>
      <c r="AA119" s="35"/>
      <c r="AB119" s="36">
        <f>200005</f>
        <v>200005</v>
      </c>
      <c r="AC119" s="36"/>
    </row>
    <row r="120" spans="1:29" s="1" customFormat="1" ht="13.5" customHeight="1">
      <c r="A120" s="32" t="s">
        <v>141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3" t="s">
        <v>103</v>
      </c>
      <c r="M120" s="33"/>
      <c r="N120" s="33"/>
      <c r="O120" s="33" t="s">
        <v>199</v>
      </c>
      <c r="P120" s="33"/>
      <c r="Q120" s="33"/>
      <c r="R120" s="34" t="s">
        <v>142</v>
      </c>
      <c r="S120" s="34"/>
      <c r="T120" s="35">
        <f>750000</f>
        <v>750000</v>
      </c>
      <c r="U120" s="35"/>
      <c r="V120" s="35"/>
      <c r="W120" s="35">
        <f>750000</f>
        <v>750000</v>
      </c>
      <c r="X120" s="35"/>
      <c r="Y120" s="35"/>
      <c r="Z120" s="35"/>
      <c r="AA120" s="35"/>
      <c r="AB120" s="36">
        <f>0</f>
        <v>0</v>
      </c>
      <c r="AC120" s="36"/>
    </row>
    <row r="121" spans="1:29" s="1" customFormat="1" ht="13.5" customHeight="1">
      <c r="A121" s="32" t="s">
        <v>141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 t="s">
        <v>103</v>
      </c>
      <c r="M121" s="33"/>
      <c r="N121" s="33"/>
      <c r="O121" s="33" t="s">
        <v>200</v>
      </c>
      <c r="P121" s="33"/>
      <c r="Q121" s="33"/>
      <c r="R121" s="34" t="s">
        <v>142</v>
      </c>
      <c r="S121" s="34"/>
      <c r="T121" s="35">
        <f>0</f>
        <v>0</v>
      </c>
      <c r="U121" s="35"/>
      <c r="V121" s="35"/>
      <c r="W121" s="37" t="s">
        <v>37</v>
      </c>
      <c r="X121" s="37"/>
      <c r="Y121" s="37"/>
      <c r="Z121" s="37"/>
      <c r="AA121" s="37"/>
      <c r="AB121" s="38" t="s">
        <v>37</v>
      </c>
      <c r="AC121" s="38"/>
    </row>
    <row r="122" spans="1:29" s="1" customFormat="1" ht="13.5" customHeight="1">
      <c r="A122" s="32" t="s">
        <v>143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3" t="s">
        <v>103</v>
      </c>
      <c r="M122" s="33"/>
      <c r="N122" s="33"/>
      <c r="O122" s="33" t="s">
        <v>200</v>
      </c>
      <c r="P122" s="33"/>
      <c r="Q122" s="33"/>
      <c r="R122" s="34" t="s">
        <v>144</v>
      </c>
      <c r="S122" s="34"/>
      <c r="T122" s="35">
        <f>828486.14</f>
        <v>828486.14</v>
      </c>
      <c r="U122" s="35"/>
      <c r="V122" s="35"/>
      <c r="W122" s="35">
        <f>828486.14</f>
        <v>828486.14</v>
      </c>
      <c r="X122" s="35"/>
      <c r="Y122" s="35"/>
      <c r="Z122" s="35"/>
      <c r="AA122" s="35"/>
      <c r="AB122" s="36">
        <f>0</f>
        <v>0</v>
      </c>
      <c r="AC122" s="36"/>
    </row>
    <row r="123" spans="1:29" s="1" customFormat="1" ht="13.5" customHeight="1">
      <c r="A123" s="32" t="s">
        <v>151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3" t="s">
        <v>103</v>
      </c>
      <c r="M123" s="33"/>
      <c r="N123" s="33"/>
      <c r="O123" s="33" t="s">
        <v>200</v>
      </c>
      <c r="P123" s="33"/>
      <c r="Q123" s="33"/>
      <c r="R123" s="34" t="s">
        <v>152</v>
      </c>
      <c r="S123" s="34"/>
      <c r="T123" s="35">
        <f>421300</f>
        <v>421300</v>
      </c>
      <c r="U123" s="35"/>
      <c r="V123" s="35"/>
      <c r="W123" s="35">
        <f>421300</f>
        <v>421300</v>
      </c>
      <c r="X123" s="35"/>
      <c r="Y123" s="35"/>
      <c r="Z123" s="35"/>
      <c r="AA123" s="35"/>
      <c r="AB123" s="36">
        <f>0</f>
        <v>0</v>
      </c>
      <c r="AC123" s="36"/>
    </row>
    <row r="124" spans="1:29" s="1" customFormat="1" ht="13.5" customHeight="1">
      <c r="A124" s="32" t="s">
        <v>139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3" t="s">
        <v>103</v>
      </c>
      <c r="M124" s="33"/>
      <c r="N124" s="33"/>
      <c r="O124" s="33" t="s">
        <v>201</v>
      </c>
      <c r="P124" s="33"/>
      <c r="Q124" s="33"/>
      <c r="R124" s="34" t="s">
        <v>140</v>
      </c>
      <c r="S124" s="34"/>
      <c r="T124" s="35">
        <f>1231485.69</f>
        <v>1231485.69</v>
      </c>
      <c r="U124" s="35"/>
      <c r="V124" s="35"/>
      <c r="W124" s="35">
        <f>1116738.48</f>
        <v>1116738.48</v>
      </c>
      <c r="X124" s="35"/>
      <c r="Y124" s="35"/>
      <c r="Z124" s="35"/>
      <c r="AA124" s="35"/>
      <c r="AB124" s="36">
        <f>114747.21</f>
        <v>114747.21</v>
      </c>
      <c r="AC124" s="36"/>
    </row>
    <row r="125" spans="1:29" s="1" customFormat="1" ht="13.5" customHeight="1">
      <c r="A125" s="32" t="s">
        <v>141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3" t="s">
        <v>103</v>
      </c>
      <c r="M125" s="33"/>
      <c r="N125" s="33"/>
      <c r="O125" s="33" t="s">
        <v>202</v>
      </c>
      <c r="P125" s="33"/>
      <c r="Q125" s="33"/>
      <c r="R125" s="34" t="s">
        <v>142</v>
      </c>
      <c r="S125" s="34"/>
      <c r="T125" s="35">
        <f>385100</f>
        <v>385100</v>
      </c>
      <c r="U125" s="35"/>
      <c r="V125" s="35"/>
      <c r="W125" s="35">
        <f>385100</f>
        <v>385100</v>
      </c>
      <c r="X125" s="35"/>
      <c r="Y125" s="35"/>
      <c r="Z125" s="35"/>
      <c r="AA125" s="35"/>
      <c r="AB125" s="36">
        <f>0</f>
        <v>0</v>
      </c>
      <c r="AC125" s="36"/>
    </row>
    <row r="126" spans="1:29" s="1" customFormat="1" ht="13.5" customHeight="1">
      <c r="A126" s="32" t="s">
        <v>143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3" t="s">
        <v>103</v>
      </c>
      <c r="M126" s="33"/>
      <c r="N126" s="33"/>
      <c r="O126" s="33" t="s">
        <v>202</v>
      </c>
      <c r="P126" s="33"/>
      <c r="Q126" s="33"/>
      <c r="R126" s="34" t="s">
        <v>144</v>
      </c>
      <c r="S126" s="34"/>
      <c r="T126" s="35">
        <f>0</f>
        <v>0</v>
      </c>
      <c r="U126" s="35"/>
      <c r="V126" s="35"/>
      <c r="W126" s="37" t="s">
        <v>37</v>
      </c>
      <c r="X126" s="37"/>
      <c r="Y126" s="37"/>
      <c r="Z126" s="37"/>
      <c r="AA126" s="37"/>
      <c r="AB126" s="38" t="s">
        <v>37</v>
      </c>
      <c r="AC126" s="38"/>
    </row>
    <row r="127" spans="1:29" s="1" customFormat="1" ht="13.5" customHeight="1">
      <c r="A127" s="32" t="s">
        <v>149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3" t="s">
        <v>103</v>
      </c>
      <c r="M127" s="33"/>
      <c r="N127" s="33"/>
      <c r="O127" s="33" t="s">
        <v>202</v>
      </c>
      <c r="P127" s="33"/>
      <c r="Q127" s="33"/>
      <c r="R127" s="34" t="s">
        <v>150</v>
      </c>
      <c r="S127" s="34"/>
      <c r="T127" s="35">
        <f>614900</f>
        <v>614900</v>
      </c>
      <c r="U127" s="35"/>
      <c r="V127" s="35"/>
      <c r="W127" s="35">
        <f>614900</f>
        <v>614900</v>
      </c>
      <c r="X127" s="35"/>
      <c r="Y127" s="35"/>
      <c r="Z127" s="35"/>
      <c r="AA127" s="35"/>
      <c r="AB127" s="36">
        <f>0</f>
        <v>0</v>
      </c>
      <c r="AC127" s="36"/>
    </row>
    <row r="128" spans="1:29" s="1" customFormat="1" ht="13.5" customHeight="1">
      <c r="A128" s="32" t="s">
        <v>141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3" t="s">
        <v>103</v>
      </c>
      <c r="M128" s="33"/>
      <c r="N128" s="33"/>
      <c r="O128" s="33" t="s">
        <v>203</v>
      </c>
      <c r="P128" s="33"/>
      <c r="Q128" s="33"/>
      <c r="R128" s="34" t="s">
        <v>142</v>
      </c>
      <c r="S128" s="34"/>
      <c r="T128" s="35">
        <f>208569</f>
        <v>208569</v>
      </c>
      <c r="U128" s="35"/>
      <c r="V128" s="35"/>
      <c r="W128" s="35">
        <f>208568</f>
        <v>208568</v>
      </c>
      <c r="X128" s="35"/>
      <c r="Y128" s="35"/>
      <c r="Z128" s="35"/>
      <c r="AA128" s="35"/>
      <c r="AB128" s="36">
        <f>1</f>
        <v>1</v>
      </c>
      <c r="AC128" s="36"/>
    </row>
    <row r="129" spans="1:29" s="1" customFormat="1" ht="13.5" customHeight="1">
      <c r="A129" s="32" t="s">
        <v>149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3" t="s">
        <v>103</v>
      </c>
      <c r="M129" s="33"/>
      <c r="N129" s="33"/>
      <c r="O129" s="33" t="s">
        <v>203</v>
      </c>
      <c r="P129" s="33"/>
      <c r="Q129" s="33"/>
      <c r="R129" s="34" t="s">
        <v>150</v>
      </c>
      <c r="S129" s="34"/>
      <c r="T129" s="35">
        <f>434325.4</f>
        <v>434325.4</v>
      </c>
      <c r="U129" s="35"/>
      <c r="V129" s="35"/>
      <c r="W129" s="35">
        <f>434325.4</f>
        <v>434325.4</v>
      </c>
      <c r="X129" s="35"/>
      <c r="Y129" s="35"/>
      <c r="Z129" s="35"/>
      <c r="AA129" s="35"/>
      <c r="AB129" s="36">
        <f>0</f>
        <v>0</v>
      </c>
      <c r="AC129" s="36"/>
    </row>
    <row r="130" spans="1:29" s="1" customFormat="1" ht="13.5" customHeight="1">
      <c r="A130" s="32" t="s">
        <v>141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3" t="s">
        <v>103</v>
      </c>
      <c r="M130" s="33"/>
      <c r="N130" s="33"/>
      <c r="O130" s="33" t="s">
        <v>204</v>
      </c>
      <c r="P130" s="33"/>
      <c r="Q130" s="33"/>
      <c r="R130" s="34" t="s">
        <v>142</v>
      </c>
      <c r="S130" s="34"/>
      <c r="T130" s="35">
        <f>3245467</f>
        <v>3245467</v>
      </c>
      <c r="U130" s="35"/>
      <c r="V130" s="35"/>
      <c r="W130" s="35">
        <f>3245467</f>
        <v>3245467</v>
      </c>
      <c r="X130" s="35"/>
      <c r="Y130" s="35"/>
      <c r="Z130" s="35"/>
      <c r="AA130" s="35"/>
      <c r="AB130" s="36">
        <f>0</f>
        <v>0</v>
      </c>
      <c r="AC130" s="36"/>
    </row>
    <row r="131" spans="1:29" s="1" customFormat="1" ht="13.5" customHeight="1">
      <c r="A131" s="32" t="s">
        <v>141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3" t="s">
        <v>103</v>
      </c>
      <c r="M131" s="33"/>
      <c r="N131" s="33"/>
      <c r="O131" s="33" t="s">
        <v>205</v>
      </c>
      <c r="P131" s="33"/>
      <c r="Q131" s="33"/>
      <c r="R131" s="34" t="s">
        <v>142</v>
      </c>
      <c r="S131" s="34"/>
      <c r="T131" s="35">
        <f>0.2</f>
        <v>0.2</v>
      </c>
      <c r="U131" s="35"/>
      <c r="V131" s="35"/>
      <c r="W131" s="35">
        <f>0.2</f>
        <v>0.2</v>
      </c>
      <c r="X131" s="35"/>
      <c r="Y131" s="35"/>
      <c r="Z131" s="35"/>
      <c r="AA131" s="35"/>
      <c r="AB131" s="36">
        <f>0</f>
        <v>0</v>
      </c>
      <c r="AC131" s="36"/>
    </row>
    <row r="132" spans="1:29" s="1" customFormat="1" ht="13.5" customHeight="1">
      <c r="A132" s="32" t="s">
        <v>149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3" t="s">
        <v>103</v>
      </c>
      <c r="M132" s="33"/>
      <c r="N132" s="33"/>
      <c r="O132" s="33" t="s">
        <v>205</v>
      </c>
      <c r="P132" s="33"/>
      <c r="Q132" s="33"/>
      <c r="R132" s="34" t="s">
        <v>150</v>
      </c>
      <c r="S132" s="34"/>
      <c r="T132" s="35">
        <f>10000</f>
        <v>10000</v>
      </c>
      <c r="U132" s="35"/>
      <c r="V132" s="35"/>
      <c r="W132" s="35">
        <f>10000</f>
        <v>10000</v>
      </c>
      <c r="X132" s="35"/>
      <c r="Y132" s="35"/>
      <c r="Z132" s="35"/>
      <c r="AA132" s="35"/>
      <c r="AB132" s="36">
        <f>0</f>
        <v>0</v>
      </c>
      <c r="AC132" s="36"/>
    </row>
    <row r="133" spans="1:29" s="1" customFormat="1" ht="13.5" customHeight="1">
      <c r="A133" s="32" t="s">
        <v>116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3" t="s">
        <v>103</v>
      </c>
      <c r="M133" s="33"/>
      <c r="N133" s="33"/>
      <c r="O133" s="33" t="s">
        <v>206</v>
      </c>
      <c r="P133" s="33"/>
      <c r="Q133" s="33"/>
      <c r="R133" s="34" t="s">
        <v>117</v>
      </c>
      <c r="S133" s="34"/>
      <c r="T133" s="35">
        <f>354700</f>
        <v>354700</v>
      </c>
      <c r="U133" s="35"/>
      <c r="V133" s="35"/>
      <c r="W133" s="35">
        <f>354700</f>
        <v>354700</v>
      </c>
      <c r="X133" s="35"/>
      <c r="Y133" s="35"/>
      <c r="Z133" s="35"/>
      <c r="AA133" s="35"/>
      <c r="AB133" s="36">
        <f>0</f>
        <v>0</v>
      </c>
      <c r="AC133" s="36"/>
    </row>
    <row r="134" spans="1:29" s="1" customFormat="1" ht="13.5" customHeight="1">
      <c r="A134" s="32" t="s">
        <v>141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3" t="s">
        <v>103</v>
      </c>
      <c r="M134" s="33"/>
      <c r="N134" s="33"/>
      <c r="O134" s="33" t="s">
        <v>207</v>
      </c>
      <c r="P134" s="33"/>
      <c r="Q134" s="33"/>
      <c r="R134" s="34" t="s">
        <v>142</v>
      </c>
      <c r="S134" s="34"/>
      <c r="T134" s="35">
        <f>794998.12</f>
        <v>794998.12</v>
      </c>
      <c r="U134" s="35"/>
      <c r="V134" s="35"/>
      <c r="W134" s="35">
        <f>658362.4</f>
        <v>658362.4</v>
      </c>
      <c r="X134" s="35"/>
      <c r="Y134" s="35"/>
      <c r="Z134" s="35"/>
      <c r="AA134" s="35"/>
      <c r="AB134" s="36">
        <f>136635.72</f>
        <v>136635.72</v>
      </c>
      <c r="AC134" s="36"/>
    </row>
    <row r="135" spans="1:29" s="1" customFormat="1" ht="13.5" customHeight="1">
      <c r="A135" s="32" t="s">
        <v>116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3" t="s">
        <v>103</v>
      </c>
      <c r="M135" s="33"/>
      <c r="N135" s="33"/>
      <c r="O135" s="33" t="s">
        <v>207</v>
      </c>
      <c r="P135" s="33"/>
      <c r="Q135" s="33"/>
      <c r="R135" s="34" t="s">
        <v>117</v>
      </c>
      <c r="S135" s="34"/>
      <c r="T135" s="35">
        <f>0</f>
        <v>0</v>
      </c>
      <c r="U135" s="35"/>
      <c r="V135" s="35"/>
      <c r="W135" s="37" t="s">
        <v>37</v>
      </c>
      <c r="X135" s="37"/>
      <c r="Y135" s="37"/>
      <c r="Z135" s="37"/>
      <c r="AA135" s="37"/>
      <c r="AB135" s="38" t="s">
        <v>37</v>
      </c>
      <c r="AC135" s="38"/>
    </row>
    <row r="136" spans="1:29" s="1" customFormat="1" ht="13.5" customHeight="1">
      <c r="A136" s="32" t="s">
        <v>151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 t="s">
        <v>103</v>
      </c>
      <c r="M136" s="33"/>
      <c r="N136" s="33"/>
      <c r="O136" s="33" t="s">
        <v>207</v>
      </c>
      <c r="P136" s="33"/>
      <c r="Q136" s="33"/>
      <c r="R136" s="34" t="s">
        <v>152</v>
      </c>
      <c r="S136" s="34"/>
      <c r="T136" s="35">
        <f>130841</f>
        <v>130841</v>
      </c>
      <c r="U136" s="35"/>
      <c r="V136" s="35"/>
      <c r="W136" s="35">
        <f>130841</f>
        <v>130841</v>
      </c>
      <c r="X136" s="35"/>
      <c r="Y136" s="35"/>
      <c r="Z136" s="35"/>
      <c r="AA136" s="35"/>
      <c r="AB136" s="36">
        <f>0</f>
        <v>0</v>
      </c>
      <c r="AC136" s="36"/>
    </row>
    <row r="137" spans="1:29" s="1" customFormat="1" ht="24" customHeight="1">
      <c r="A137" s="32" t="s">
        <v>130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3" t="s">
        <v>103</v>
      </c>
      <c r="M137" s="33"/>
      <c r="N137" s="33"/>
      <c r="O137" s="33" t="s">
        <v>207</v>
      </c>
      <c r="P137" s="33"/>
      <c r="Q137" s="33"/>
      <c r="R137" s="34" t="s">
        <v>132</v>
      </c>
      <c r="S137" s="34"/>
      <c r="T137" s="35">
        <f>9200</f>
        <v>9200</v>
      </c>
      <c r="U137" s="35"/>
      <c r="V137" s="35"/>
      <c r="W137" s="35">
        <f>9200</f>
        <v>9200</v>
      </c>
      <c r="X137" s="35"/>
      <c r="Y137" s="35"/>
      <c r="Z137" s="35"/>
      <c r="AA137" s="35"/>
      <c r="AB137" s="36">
        <f>0</f>
        <v>0</v>
      </c>
      <c r="AC137" s="36"/>
    </row>
    <row r="138" spans="1:29" s="1" customFormat="1" ht="13.5" customHeight="1">
      <c r="A138" s="32" t="s">
        <v>141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3" t="s">
        <v>103</v>
      </c>
      <c r="M138" s="33"/>
      <c r="N138" s="33"/>
      <c r="O138" s="33" t="s">
        <v>208</v>
      </c>
      <c r="P138" s="33"/>
      <c r="Q138" s="33"/>
      <c r="R138" s="34" t="s">
        <v>142</v>
      </c>
      <c r="S138" s="34"/>
      <c r="T138" s="35">
        <f>100000</f>
        <v>100000</v>
      </c>
      <c r="U138" s="35"/>
      <c r="V138" s="35"/>
      <c r="W138" s="37" t="s">
        <v>37</v>
      </c>
      <c r="X138" s="37"/>
      <c r="Y138" s="37"/>
      <c r="Z138" s="37"/>
      <c r="AA138" s="37"/>
      <c r="AB138" s="36">
        <f>100000</f>
        <v>100000</v>
      </c>
      <c r="AC138" s="36"/>
    </row>
    <row r="139" spans="1:29" s="1" customFormat="1" ht="13.5" customHeight="1">
      <c r="A139" s="32" t="s">
        <v>116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3" t="s">
        <v>103</v>
      </c>
      <c r="M139" s="33"/>
      <c r="N139" s="33"/>
      <c r="O139" s="33" t="s">
        <v>209</v>
      </c>
      <c r="P139" s="33"/>
      <c r="Q139" s="33"/>
      <c r="R139" s="34" t="s">
        <v>117</v>
      </c>
      <c r="S139" s="34"/>
      <c r="T139" s="35">
        <f>76080</f>
        <v>76080</v>
      </c>
      <c r="U139" s="35"/>
      <c r="V139" s="35"/>
      <c r="W139" s="35">
        <f>69648</f>
        <v>69648</v>
      </c>
      <c r="X139" s="35"/>
      <c r="Y139" s="35"/>
      <c r="Z139" s="35"/>
      <c r="AA139" s="35"/>
      <c r="AB139" s="36">
        <f>6432</f>
        <v>6432</v>
      </c>
      <c r="AC139" s="36"/>
    </row>
    <row r="140" spans="1:29" s="1" customFormat="1" ht="13.5" customHeight="1">
      <c r="A140" s="32" t="s">
        <v>151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 t="s">
        <v>103</v>
      </c>
      <c r="M140" s="33"/>
      <c r="N140" s="33"/>
      <c r="O140" s="33" t="s">
        <v>210</v>
      </c>
      <c r="P140" s="33"/>
      <c r="Q140" s="33"/>
      <c r="R140" s="34" t="s">
        <v>152</v>
      </c>
      <c r="S140" s="34"/>
      <c r="T140" s="35">
        <f>2510</f>
        <v>2510</v>
      </c>
      <c r="U140" s="35"/>
      <c r="V140" s="35"/>
      <c r="W140" s="35">
        <f>2510</f>
        <v>2510</v>
      </c>
      <c r="X140" s="35"/>
      <c r="Y140" s="35"/>
      <c r="Z140" s="35"/>
      <c r="AA140" s="35"/>
      <c r="AB140" s="36">
        <f>0</f>
        <v>0</v>
      </c>
      <c r="AC140" s="36"/>
    </row>
    <row r="141" spans="1:29" s="1" customFormat="1" ht="13.5" customHeight="1">
      <c r="A141" s="32" t="s">
        <v>139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3" t="s">
        <v>103</v>
      </c>
      <c r="M141" s="33"/>
      <c r="N141" s="33"/>
      <c r="O141" s="33" t="s">
        <v>211</v>
      </c>
      <c r="P141" s="33"/>
      <c r="Q141" s="33"/>
      <c r="R141" s="34" t="s">
        <v>140</v>
      </c>
      <c r="S141" s="34"/>
      <c r="T141" s="35">
        <f>357686.26</f>
        <v>357686.26</v>
      </c>
      <c r="U141" s="35"/>
      <c r="V141" s="35"/>
      <c r="W141" s="35">
        <f>357686.26</f>
        <v>357686.26</v>
      </c>
      <c r="X141" s="35"/>
      <c r="Y141" s="35"/>
      <c r="Z141" s="35"/>
      <c r="AA141" s="35"/>
      <c r="AB141" s="36">
        <f>0</f>
        <v>0</v>
      </c>
      <c r="AC141" s="36"/>
    </row>
    <row r="142" spans="1:29" s="1" customFormat="1" ht="13.5" customHeight="1">
      <c r="A142" s="32" t="s">
        <v>141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3" t="s">
        <v>103</v>
      </c>
      <c r="M142" s="33"/>
      <c r="N142" s="33"/>
      <c r="O142" s="33" t="s">
        <v>212</v>
      </c>
      <c r="P142" s="33"/>
      <c r="Q142" s="33"/>
      <c r="R142" s="34" t="s">
        <v>142</v>
      </c>
      <c r="S142" s="34"/>
      <c r="T142" s="35">
        <f>81695.26</f>
        <v>81695.26</v>
      </c>
      <c r="U142" s="35"/>
      <c r="V142" s="35"/>
      <c r="W142" s="35">
        <f>79327.64</f>
        <v>79327.64</v>
      </c>
      <c r="X142" s="35"/>
      <c r="Y142" s="35"/>
      <c r="Z142" s="35"/>
      <c r="AA142" s="35"/>
      <c r="AB142" s="36">
        <f>2367.62</f>
        <v>2367.62</v>
      </c>
      <c r="AC142" s="36"/>
    </row>
    <row r="143" spans="1:29" s="1" customFormat="1" ht="13.5" customHeight="1">
      <c r="A143" s="32" t="s">
        <v>116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3" t="s">
        <v>103</v>
      </c>
      <c r="M143" s="33"/>
      <c r="N143" s="33"/>
      <c r="O143" s="33" t="s">
        <v>213</v>
      </c>
      <c r="P143" s="33"/>
      <c r="Q143" s="33"/>
      <c r="R143" s="34" t="s">
        <v>117</v>
      </c>
      <c r="S143" s="34"/>
      <c r="T143" s="35">
        <f>4770</f>
        <v>4770</v>
      </c>
      <c r="U143" s="35"/>
      <c r="V143" s="35"/>
      <c r="W143" s="35">
        <f>4770</f>
        <v>4770</v>
      </c>
      <c r="X143" s="35"/>
      <c r="Y143" s="35"/>
      <c r="Z143" s="35"/>
      <c r="AA143" s="35"/>
      <c r="AB143" s="36">
        <f>0</f>
        <v>0</v>
      </c>
      <c r="AC143" s="36"/>
    </row>
    <row r="144" spans="1:29" s="1" customFormat="1" ht="13.5" customHeight="1">
      <c r="A144" s="32" t="s">
        <v>141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 t="s">
        <v>103</v>
      </c>
      <c r="M144" s="33"/>
      <c r="N144" s="33"/>
      <c r="O144" s="33" t="s">
        <v>214</v>
      </c>
      <c r="P144" s="33"/>
      <c r="Q144" s="33"/>
      <c r="R144" s="34" t="s">
        <v>142</v>
      </c>
      <c r="S144" s="34"/>
      <c r="T144" s="35">
        <f>20000</f>
        <v>20000</v>
      </c>
      <c r="U144" s="35"/>
      <c r="V144" s="35"/>
      <c r="W144" s="37" t="s">
        <v>37</v>
      </c>
      <c r="X144" s="37"/>
      <c r="Y144" s="37"/>
      <c r="Z144" s="37"/>
      <c r="AA144" s="37"/>
      <c r="AB144" s="36">
        <f>20000</f>
        <v>20000</v>
      </c>
      <c r="AC144" s="36"/>
    </row>
    <row r="145" spans="1:29" s="1" customFormat="1" ht="13.5" customHeight="1">
      <c r="A145" s="32" t="s">
        <v>116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3" t="s">
        <v>103</v>
      </c>
      <c r="M145" s="33"/>
      <c r="N145" s="33"/>
      <c r="O145" s="33" t="s">
        <v>214</v>
      </c>
      <c r="P145" s="33"/>
      <c r="Q145" s="33"/>
      <c r="R145" s="34" t="s">
        <v>117</v>
      </c>
      <c r="S145" s="34"/>
      <c r="T145" s="35">
        <f>66305.54</f>
        <v>66305.54</v>
      </c>
      <c r="U145" s="35"/>
      <c r="V145" s="35"/>
      <c r="W145" s="35">
        <f>45447</f>
        <v>45447</v>
      </c>
      <c r="X145" s="35"/>
      <c r="Y145" s="35"/>
      <c r="Z145" s="35"/>
      <c r="AA145" s="35"/>
      <c r="AB145" s="36">
        <f>20858.54</f>
        <v>20858.54</v>
      </c>
      <c r="AC145" s="36"/>
    </row>
    <row r="146" spans="1:29" s="1" customFormat="1" ht="13.5" customHeight="1">
      <c r="A146" s="32" t="s">
        <v>141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3" t="s">
        <v>103</v>
      </c>
      <c r="M146" s="33"/>
      <c r="N146" s="33"/>
      <c r="O146" s="33" t="s">
        <v>215</v>
      </c>
      <c r="P146" s="33"/>
      <c r="Q146" s="33"/>
      <c r="R146" s="34" t="s">
        <v>142</v>
      </c>
      <c r="S146" s="34"/>
      <c r="T146" s="35">
        <f>67723.43</f>
        <v>67723.43</v>
      </c>
      <c r="U146" s="35"/>
      <c r="V146" s="35"/>
      <c r="W146" s="37" t="s">
        <v>37</v>
      </c>
      <c r="X146" s="37"/>
      <c r="Y146" s="37"/>
      <c r="Z146" s="37"/>
      <c r="AA146" s="37"/>
      <c r="AB146" s="36">
        <f>67723.43</f>
        <v>67723.43</v>
      </c>
      <c r="AC146" s="36"/>
    </row>
    <row r="147" spans="1:29" s="1" customFormat="1" ht="13.5" customHeight="1">
      <c r="A147" s="32" t="s">
        <v>143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3" t="s">
        <v>103</v>
      </c>
      <c r="M147" s="33"/>
      <c r="N147" s="33"/>
      <c r="O147" s="33" t="s">
        <v>215</v>
      </c>
      <c r="P147" s="33"/>
      <c r="Q147" s="33"/>
      <c r="R147" s="34" t="s">
        <v>144</v>
      </c>
      <c r="S147" s="34"/>
      <c r="T147" s="35">
        <f>52500</f>
        <v>52500</v>
      </c>
      <c r="U147" s="35"/>
      <c r="V147" s="35"/>
      <c r="W147" s="35">
        <f>52500</f>
        <v>52500</v>
      </c>
      <c r="X147" s="35"/>
      <c r="Y147" s="35"/>
      <c r="Z147" s="35"/>
      <c r="AA147" s="35"/>
      <c r="AB147" s="36">
        <f>0</f>
        <v>0</v>
      </c>
      <c r="AC147" s="36"/>
    </row>
    <row r="148" spans="1:29" s="1" customFormat="1" ht="13.5" customHeight="1">
      <c r="A148" s="32" t="s">
        <v>151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3" t="s">
        <v>103</v>
      </c>
      <c r="M148" s="33"/>
      <c r="N148" s="33"/>
      <c r="O148" s="33" t="s">
        <v>215</v>
      </c>
      <c r="P148" s="33"/>
      <c r="Q148" s="33"/>
      <c r="R148" s="34" t="s">
        <v>152</v>
      </c>
      <c r="S148" s="34"/>
      <c r="T148" s="35">
        <f>59860</f>
        <v>59860</v>
      </c>
      <c r="U148" s="35"/>
      <c r="V148" s="35"/>
      <c r="W148" s="35">
        <f>59860</f>
        <v>59860</v>
      </c>
      <c r="X148" s="35"/>
      <c r="Y148" s="35"/>
      <c r="Z148" s="35"/>
      <c r="AA148" s="35"/>
      <c r="AB148" s="36">
        <f>0</f>
        <v>0</v>
      </c>
      <c r="AC148" s="36"/>
    </row>
    <row r="149" spans="1:29" s="1" customFormat="1" ht="13.5" customHeight="1">
      <c r="A149" s="32" t="s">
        <v>163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3" t="s">
        <v>103</v>
      </c>
      <c r="M149" s="33"/>
      <c r="N149" s="33"/>
      <c r="O149" s="33" t="s">
        <v>216</v>
      </c>
      <c r="P149" s="33"/>
      <c r="Q149" s="33"/>
      <c r="R149" s="34" t="s">
        <v>165</v>
      </c>
      <c r="S149" s="34"/>
      <c r="T149" s="35">
        <f>291068</f>
        <v>291068</v>
      </c>
      <c r="U149" s="35"/>
      <c r="V149" s="35"/>
      <c r="W149" s="35">
        <f>291068</f>
        <v>291068</v>
      </c>
      <c r="X149" s="35"/>
      <c r="Y149" s="35"/>
      <c r="Z149" s="35"/>
      <c r="AA149" s="35"/>
      <c r="AB149" s="36">
        <f>0</f>
        <v>0</v>
      </c>
      <c r="AC149" s="36"/>
    </row>
    <row r="150" spans="1:29" s="1" customFormat="1" ht="13.5" customHeight="1">
      <c r="A150" s="32" t="s">
        <v>141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3" t="s">
        <v>103</v>
      </c>
      <c r="M150" s="33"/>
      <c r="N150" s="33"/>
      <c r="O150" s="33" t="s">
        <v>217</v>
      </c>
      <c r="P150" s="33"/>
      <c r="Q150" s="33"/>
      <c r="R150" s="34" t="s">
        <v>142</v>
      </c>
      <c r="S150" s="34"/>
      <c r="T150" s="35">
        <f>0</f>
        <v>0</v>
      </c>
      <c r="U150" s="35"/>
      <c r="V150" s="35"/>
      <c r="W150" s="37" t="s">
        <v>37</v>
      </c>
      <c r="X150" s="37"/>
      <c r="Y150" s="37"/>
      <c r="Z150" s="37"/>
      <c r="AA150" s="37"/>
      <c r="AB150" s="38" t="s">
        <v>37</v>
      </c>
      <c r="AC150" s="38"/>
    </row>
    <row r="151" spans="1:29" s="1" customFormat="1" ht="13.5" customHeight="1">
      <c r="A151" s="32" t="s">
        <v>151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 t="s">
        <v>103</v>
      </c>
      <c r="M151" s="33"/>
      <c r="N151" s="33"/>
      <c r="O151" s="33" t="s">
        <v>217</v>
      </c>
      <c r="P151" s="33"/>
      <c r="Q151" s="33"/>
      <c r="R151" s="34" t="s">
        <v>152</v>
      </c>
      <c r="S151" s="34"/>
      <c r="T151" s="35">
        <f>502065</f>
        <v>502065</v>
      </c>
      <c r="U151" s="35"/>
      <c r="V151" s="35"/>
      <c r="W151" s="35">
        <f>502065</f>
        <v>502065</v>
      </c>
      <c r="X151" s="35"/>
      <c r="Y151" s="35"/>
      <c r="Z151" s="35"/>
      <c r="AA151" s="35"/>
      <c r="AB151" s="36">
        <f>0</f>
        <v>0</v>
      </c>
      <c r="AC151" s="36"/>
    </row>
    <row r="152" spans="1:29" s="1" customFormat="1" ht="13.5" customHeight="1">
      <c r="A152" s="32" t="s">
        <v>149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3" t="s">
        <v>103</v>
      </c>
      <c r="M152" s="33"/>
      <c r="N152" s="33"/>
      <c r="O152" s="33" t="s">
        <v>218</v>
      </c>
      <c r="P152" s="33"/>
      <c r="Q152" s="33"/>
      <c r="R152" s="34" t="s">
        <v>150</v>
      </c>
      <c r="S152" s="34"/>
      <c r="T152" s="35">
        <f>4240</f>
        <v>4240</v>
      </c>
      <c r="U152" s="35"/>
      <c r="V152" s="35"/>
      <c r="W152" s="35">
        <f>4240</f>
        <v>4240</v>
      </c>
      <c r="X152" s="35"/>
      <c r="Y152" s="35"/>
      <c r="Z152" s="35"/>
      <c r="AA152" s="35"/>
      <c r="AB152" s="36">
        <f>0</f>
        <v>0</v>
      </c>
      <c r="AC152" s="36"/>
    </row>
    <row r="153" spans="1:29" s="1" customFormat="1" ht="13.5" customHeight="1">
      <c r="A153" s="32" t="s">
        <v>151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3" t="s">
        <v>103</v>
      </c>
      <c r="M153" s="33"/>
      <c r="N153" s="33"/>
      <c r="O153" s="33" t="s">
        <v>218</v>
      </c>
      <c r="P153" s="33"/>
      <c r="Q153" s="33"/>
      <c r="R153" s="34" t="s">
        <v>152</v>
      </c>
      <c r="S153" s="34"/>
      <c r="T153" s="35">
        <f>7840</f>
        <v>7840</v>
      </c>
      <c r="U153" s="35"/>
      <c r="V153" s="35"/>
      <c r="W153" s="35">
        <f>4873</f>
        <v>4873</v>
      </c>
      <c r="X153" s="35"/>
      <c r="Y153" s="35"/>
      <c r="Z153" s="35"/>
      <c r="AA153" s="35"/>
      <c r="AB153" s="36">
        <f>2967</f>
        <v>2967</v>
      </c>
      <c r="AC153" s="36"/>
    </row>
    <row r="154" spans="1:29" s="1" customFormat="1" ht="24" customHeight="1">
      <c r="A154" s="32" t="s">
        <v>219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 t="s">
        <v>103</v>
      </c>
      <c r="M154" s="33"/>
      <c r="N154" s="33"/>
      <c r="O154" s="33" t="s">
        <v>218</v>
      </c>
      <c r="P154" s="33"/>
      <c r="Q154" s="33"/>
      <c r="R154" s="34" t="s">
        <v>220</v>
      </c>
      <c r="S154" s="34"/>
      <c r="T154" s="35">
        <f>60000</f>
        <v>60000</v>
      </c>
      <c r="U154" s="35"/>
      <c r="V154" s="35"/>
      <c r="W154" s="35">
        <f>60000</f>
        <v>60000</v>
      </c>
      <c r="X154" s="35"/>
      <c r="Y154" s="35"/>
      <c r="Z154" s="35"/>
      <c r="AA154" s="35"/>
      <c r="AB154" s="36">
        <f>0</f>
        <v>0</v>
      </c>
      <c r="AC154" s="36"/>
    </row>
    <row r="155" spans="1:29" s="1" customFormat="1" ht="13.5" customHeight="1">
      <c r="A155" s="32" t="s">
        <v>163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3" t="s">
        <v>103</v>
      </c>
      <c r="M155" s="33"/>
      <c r="N155" s="33"/>
      <c r="O155" s="33" t="s">
        <v>221</v>
      </c>
      <c r="P155" s="33"/>
      <c r="Q155" s="33"/>
      <c r="R155" s="34" t="s">
        <v>165</v>
      </c>
      <c r="S155" s="34"/>
      <c r="T155" s="35">
        <f>55500</f>
        <v>55500</v>
      </c>
      <c r="U155" s="35"/>
      <c r="V155" s="35"/>
      <c r="W155" s="35">
        <f>55500</f>
        <v>55500</v>
      </c>
      <c r="X155" s="35"/>
      <c r="Y155" s="35"/>
      <c r="Z155" s="35"/>
      <c r="AA155" s="35"/>
      <c r="AB155" s="36">
        <f>0</f>
        <v>0</v>
      </c>
      <c r="AC155" s="36"/>
    </row>
    <row r="156" spans="1:29" s="1" customFormat="1" ht="13.5" customHeight="1">
      <c r="A156" s="32" t="s">
        <v>141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3" t="s">
        <v>103</v>
      </c>
      <c r="M156" s="33"/>
      <c r="N156" s="33"/>
      <c r="O156" s="33" t="s">
        <v>221</v>
      </c>
      <c r="P156" s="33"/>
      <c r="Q156" s="33"/>
      <c r="R156" s="34" t="s">
        <v>142</v>
      </c>
      <c r="S156" s="34"/>
      <c r="T156" s="35">
        <f>650000</f>
        <v>650000</v>
      </c>
      <c r="U156" s="35"/>
      <c r="V156" s="35"/>
      <c r="W156" s="35">
        <f>540216</f>
        <v>540216</v>
      </c>
      <c r="X156" s="35"/>
      <c r="Y156" s="35"/>
      <c r="Z156" s="35"/>
      <c r="AA156" s="35"/>
      <c r="AB156" s="36">
        <f>109784</f>
        <v>109784</v>
      </c>
      <c r="AC156" s="36"/>
    </row>
    <row r="157" spans="1:29" s="1" customFormat="1" ht="13.5" customHeight="1">
      <c r="A157" s="32" t="s">
        <v>143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3" t="s">
        <v>103</v>
      </c>
      <c r="M157" s="33"/>
      <c r="N157" s="33"/>
      <c r="O157" s="33" t="s">
        <v>221</v>
      </c>
      <c r="P157" s="33"/>
      <c r="Q157" s="33"/>
      <c r="R157" s="34" t="s">
        <v>144</v>
      </c>
      <c r="S157" s="34"/>
      <c r="T157" s="35">
        <f>346837</f>
        <v>346837</v>
      </c>
      <c r="U157" s="35"/>
      <c r="V157" s="35"/>
      <c r="W157" s="35">
        <f>346835</f>
        <v>346835</v>
      </c>
      <c r="X157" s="35"/>
      <c r="Y157" s="35"/>
      <c r="Z157" s="35"/>
      <c r="AA157" s="35"/>
      <c r="AB157" s="36">
        <f>2</f>
        <v>2</v>
      </c>
      <c r="AC157" s="36"/>
    </row>
    <row r="158" spans="1:29" s="1" customFormat="1" ht="13.5" customHeight="1">
      <c r="A158" s="32" t="s">
        <v>147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3" t="s">
        <v>103</v>
      </c>
      <c r="M158" s="33"/>
      <c r="N158" s="33"/>
      <c r="O158" s="33" t="s">
        <v>221</v>
      </c>
      <c r="P158" s="33"/>
      <c r="Q158" s="33"/>
      <c r="R158" s="34" t="s">
        <v>148</v>
      </c>
      <c r="S158" s="34"/>
      <c r="T158" s="35">
        <f>20000</f>
        <v>20000</v>
      </c>
      <c r="U158" s="35"/>
      <c r="V158" s="35"/>
      <c r="W158" s="35">
        <f>20000</f>
        <v>20000</v>
      </c>
      <c r="X158" s="35"/>
      <c r="Y158" s="35"/>
      <c r="Z158" s="35"/>
      <c r="AA158" s="35"/>
      <c r="AB158" s="36">
        <f>0</f>
        <v>0</v>
      </c>
      <c r="AC158" s="36"/>
    </row>
    <row r="159" spans="1:29" s="1" customFormat="1" ht="13.5" customHeight="1">
      <c r="A159" s="32" t="s">
        <v>149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3" t="s">
        <v>103</v>
      </c>
      <c r="M159" s="33"/>
      <c r="N159" s="33"/>
      <c r="O159" s="33" t="s">
        <v>221</v>
      </c>
      <c r="P159" s="33"/>
      <c r="Q159" s="33"/>
      <c r="R159" s="34" t="s">
        <v>150</v>
      </c>
      <c r="S159" s="34"/>
      <c r="T159" s="35">
        <f>31027.5</f>
        <v>31027.5</v>
      </c>
      <c r="U159" s="35"/>
      <c r="V159" s="35"/>
      <c r="W159" s="35">
        <f>23624</f>
        <v>23624</v>
      </c>
      <c r="X159" s="35"/>
      <c r="Y159" s="35"/>
      <c r="Z159" s="35"/>
      <c r="AA159" s="35"/>
      <c r="AB159" s="36">
        <f>7403.5</f>
        <v>7403.5</v>
      </c>
      <c r="AC159" s="36"/>
    </row>
    <row r="160" spans="1:29" s="1" customFormat="1" ht="13.5" customHeight="1">
      <c r="A160" s="32" t="s">
        <v>151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3" t="s">
        <v>103</v>
      </c>
      <c r="M160" s="33"/>
      <c r="N160" s="33"/>
      <c r="O160" s="33" t="s">
        <v>221</v>
      </c>
      <c r="P160" s="33"/>
      <c r="Q160" s="33"/>
      <c r="R160" s="34" t="s">
        <v>152</v>
      </c>
      <c r="S160" s="34"/>
      <c r="T160" s="35">
        <f>81649</f>
        <v>81649</v>
      </c>
      <c r="U160" s="35"/>
      <c r="V160" s="35"/>
      <c r="W160" s="35">
        <f>68189</f>
        <v>68189</v>
      </c>
      <c r="X160" s="35"/>
      <c r="Y160" s="35"/>
      <c r="Z160" s="35"/>
      <c r="AA160" s="35"/>
      <c r="AB160" s="36">
        <f>13460</f>
        <v>13460</v>
      </c>
      <c r="AC160" s="36"/>
    </row>
    <row r="161" spans="1:29" s="1" customFormat="1" ht="13.5" customHeight="1">
      <c r="A161" s="32" t="s">
        <v>116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3" t="s">
        <v>103</v>
      </c>
      <c r="M161" s="33"/>
      <c r="N161" s="33"/>
      <c r="O161" s="33" t="s">
        <v>222</v>
      </c>
      <c r="P161" s="33"/>
      <c r="Q161" s="33"/>
      <c r="R161" s="34" t="s">
        <v>117</v>
      </c>
      <c r="S161" s="34"/>
      <c r="T161" s="35">
        <f>70000</f>
        <v>70000</v>
      </c>
      <c r="U161" s="35"/>
      <c r="V161" s="35"/>
      <c r="W161" s="37" t="s">
        <v>37</v>
      </c>
      <c r="X161" s="37"/>
      <c r="Y161" s="37"/>
      <c r="Z161" s="37"/>
      <c r="AA161" s="37"/>
      <c r="AB161" s="36">
        <f>70000</f>
        <v>70000</v>
      </c>
      <c r="AC161" s="36"/>
    </row>
    <row r="162" spans="1:29" s="1" customFormat="1" ht="13.5" customHeight="1">
      <c r="A162" s="32" t="s">
        <v>151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3" t="s">
        <v>103</v>
      </c>
      <c r="M162" s="33"/>
      <c r="N162" s="33"/>
      <c r="O162" s="33" t="s">
        <v>222</v>
      </c>
      <c r="P162" s="33"/>
      <c r="Q162" s="33"/>
      <c r="R162" s="34" t="s">
        <v>152</v>
      </c>
      <c r="S162" s="34"/>
      <c r="T162" s="35">
        <f>85500</f>
        <v>85500</v>
      </c>
      <c r="U162" s="35"/>
      <c r="V162" s="35"/>
      <c r="W162" s="35">
        <f>16990</f>
        <v>16990</v>
      </c>
      <c r="X162" s="35"/>
      <c r="Y162" s="35"/>
      <c r="Z162" s="35"/>
      <c r="AA162" s="35"/>
      <c r="AB162" s="36">
        <f>68510</f>
        <v>68510</v>
      </c>
      <c r="AC162" s="36"/>
    </row>
    <row r="163" spans="1:29" s="1" customFormat="1" ht="13.5" customHeight="1">
      <c r="A163" s="32" t="s">
        <v>116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3" t="s">
        <v>103</v>
      </c>
      <c r="M163" s="33"/>
      <c r="N163" s="33"/>
      <c r="O163" s="33" t="s">
        <v>223</v>
      </c>
      <c r="P163" s="33"/>
      <c r="Q163" s="33"/>
      <c r="R163" s="34" t="s">
        <v>117</v>
      </c>
      <c r="S163" s="34"/>
      <c r="T163" s="35">
        <f>15000</f>
        <v>15000</v>
      </c>
      <c r="U163" s="35"/>
      <c r="V163" s="35"/>
      <c r="W163" s="35">
        <f>15000</f>
        <v>15000</v>
      </c>
      <c r="X163" s="35"/>
      <c r="Y163" s="35"/>
      <c r="Z163" s="35"/>
      <c r="AA163" s="35"/>
      <c r="AB163" s="36">
        <f>0</f>
        <v>0</v>
      </c>
      <c r="AC163" s="36"/>
    </row>
    <row r="164" spans="1:29" s="1" customFormat="1" ht="13.5" customHeight="1">
      <c r="A164" s="32" t="s">
        <v>143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3" t="s">
        <v>103</v>
      </c>
      <c r="M164" s="33"/>
      <c r="N164" s="33"/>
      <c r="O164" s="33" t="s">
        <v>223</v>
      </c>
      <c r="P164" s="33"/>
      <c r="Q164" s="33"/>
      <c r="R164" s="34" t="s">
        <v>144</v>
      </c>
      <c r="S164" s="34"/>
      <c r="T164" s="35">
        <f>0</f>
        <v>0</v>
      </c>
      <c r="U164" s="35"/>
      <c r="V164" s="35"/>
      <c r="W164" s="37" t="s">
        <v>37</v>
      </c>
      <c r="X164" s="37"/>
      <c r="Y164" s="37"/>
      <c r="Z164" s="37"/>
      <c r="AA164" s="37"/>
      <c r="AB164" s="38" t="s">
        <v>37</v>
      </c>
      <c r="AC164" s="38"/>
    </row>
    <row r="165" spans="1:29" s="1" customFormat="1" ht="13.5" customHeight="1">
      <c r="A165" s="32" t="s">
        <v>149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3" t="s">
        <v>103</v>
      </c>
      <c r="M165" s="33"/>
      <c r="N165" s="33"/>
      <c r="O165" s="33" t="s">
        <v>223</v>
      </c>
      <c r="P165" s="33"/>
      <c r="Q165" s="33"/>
      <c r="R165" s="34" t="s">
        <v>150</v>
      </c>
      <c r="S165" s="34"/>
      <c r="T165" s="35">
        <f>0</f>
        <v>0</v>
      </c>
      <c r="U165" s="35"/>
      <c r="V165" s="35"/>
      <c r="W165" s="37" t="s">
        <v>37</v>
      </c>
      <c r="X165" s="37"/>
      <c r="Y165" s="37"/>
      <c r="Z165" s="37"/>
      <c r="AA165" s="37"/>
      <c r="AB165" s="38" t="s">
        <v>37</v>
      </c>
      <c r="AC165" s="38"/>
    </row>
    <row r="166" spans="1:29" s="1" customFormat="1" ht="13.5" customHeight="1">
      <c r="A166" s="32" t="s">
        <v>151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3" t="s">
        <v>103</v>
      </c>
      <c r="M166" s="33"/>
      <c r="N166" s="33"/>
      <c r="O166" s="33" t="s">
        <v>223</v>
      </c>
      <c r="P166" s="33"/>
      <c r="Q166" s="33"/>
      <c r="R166" s="34" t="s">
        <v>152</v>
      </c>
      <c r="S166" s="34"/>
      <c r="T166" s="35">
        <f>0</f>
        <v>0</v>
      </c>
      <c r="U166" s="35"/>
      <c r="V166" s="35"/>
      <c r="W166" s="37" t="s">
        <v>37</v>
      </c>
      <c r="X166" s="37"/>
      <c r="Y166" s="37"/>
      <c r="Z166" s="37"/>
      <c r="AA166" s="37"/>
      <c r="AB166" s="38" t="s">
        <v>37</v>
      </c>
      <c r="AC166" s="38"/>
    </row>
    <row r="167" spans="1:29" s="1" customFormat="1" ht="13.5" customHeight="1">
      <c r="A167" s="32" t="s">
        <v>121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3" t="s">
        <v>103</v>
      </c>
      <c r="M167" s="33"/>
      <c r="N167" s="33"/>
      <c r="O167" s="33" t="s">
        <v>224</v>
      </c>
      <c r="P167" s="33"/>
      <c r="Q167" s="33"/>
      <c r="R167" s="34" t="s">
        <v>123</v>
      </c>
      <c r="S167" s="34"/>
      <c r="T167" s="35">
        <f>375461</f>
        <v>375461</v>
      </c>
      <c r="U167" s="35"/>
      <c r="V167" s="35"/>
      <c r="W167" s="35">
        <f>375461</f>
        <v>375461</v>
      </c>
      <c r="X167" s="35"/>
      <c r="Y167" s="35"/>
      <c r="Z167" s="35"/>
      <c r="AA167" s="35"/>
      <c r="AB167" s="36">
        <f>0</f>
        <v>0</v>
      </c>
      <c r="AC167" s="36"/>
    </row>
    <row r="168" spans="1:29" s="1" customFormat="1" ht="13.5" customHeight="1">
      <c r="A168" s="32" t="s">
        <v>104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3" t="s">
        <v>103</v>
      </c>
      <c r="M168" s="33"/>
      <c r="N168" s="33"/>
      <c r="O168" s="33" t="s">
        <v>225</v>
      </c>
      <c r="P168" s="33"/>
      <c r="Q168" s="33"/>
      <c r="R168" s="34" t="s">
        <v>106</v>
      </c>
      <c r="S168" s="34"/>
      <c r="T168" s="35">
        <f>462074.5</f>
        <v>462074.5</v>
      </c>
      <c r="U168" s="35"/>
      <c r="V168" s="35"/>
      <c r="W168" s="35">
        <f>389210.6</f>
        <v>389210.6</v>
      </c>
      <c r="X168" s="35"/>
      <c r="Y168" s="35"/>
      <c r="Z168" s="35"/>
      <c r="AA168" s="35"/>
      <c r="AB168" s="36">
        <f>72863.9</f>
        <v>72863.9</v>
      </c>
      <c r="AC168" s="36"/>
    </row>
    <row r="169" spans="1:29" s="1" customFormat="1" ht="13.5" customHeight="1">
      <c r="A169" s="32" t="s">
        <v>107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3" t="s">
        <v>103</v>
      </c>
      <c r="M169" s="33"/>
      <c r="N169" s="33"/>
      <c r="O169" s="33" t="s">
        <v>226</v>
      </c>
      <c r="P169" s="33"/>
      <c r="Q169" s="33"/>
      <c r="R169" s="34" t="s">
        <v>109</v>
      </c>
      <c r="S169" s="34"/>
      <c r="T169" s="35">
        <f>133371.5</f>
        <v>133371.5</v>
      </c>
      <c r="U169" s="35"/>
      <c r="V169" s="35"/>
      <c r="W169" s="35">
        <f>117632.2</f>
        <v>117632.2</v>
      </c>
      <c r="X169" s="35"/>
      <c r="Y169" s="35"/>
      <c r="Z169" s="35"/>
      <c r="AA169" s="35"/>
      <c r="AB169" s="36">
        <f>15739.3</f>
        <v>15739.3</v>
      </c>
      <c r="AC169" s="36"/>
    </row>
    <row r="170" spans="1:29" s="1" customFormat="1" ht="13.5" customHeight="1">
      <c r="A170" s="32" t="s">
        <v>104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3" t="s">
        <v>103</v>
      </c>
      <c r="M170" s="33"/>
      <c r="N170" s="33"/>
      <c r="O170" s="33" t="s">
        <v>227</v>
      </c>
      <c r="P170" s="33"/>
      <c r="Q170" s="33"/>
      <c r="R170" s="34" t="s">
        <v>106</v>
      </c>
      <c r="S170" s="34"/>
      <c r="T170" s="35">
        <f>23758.48</f>
        <v>23758.48</v>
      </c>
      <c r="U170" s="35"/>
      <c r="V170" s="35"/>
      <c r="W170" s="35">
        <f>23758.48</f>
        <v>23758.48</v>
      </c>
      <c r="X170" s="35"/>
      <c r="Y170" s="35"/>
      <c r="Z170" s="35"/>
      <c r="AA170" s="35"/>
      <c r="AB170" s="36">
        <f>0</f>
        <v>0</v>
      </c>
      <c r="AC170" s="36"/>
    </row>
    <row r="171" spans="1:29" s="1" customFormat="1" ht="13.5" customHeight="1">
      <c r="A171" s="32" t="s">
        <v>107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3" t="s">
        <v>103</v>
      </c>
      <c r="M171" s="33"/>
      <c r="N171" s="33"/>
      <c r="O171" s="33" t="s">
        <v>228</v>
      </c>
      <c r="P171" s="33"/>
      <c r="Q171" s="33"/>
      <c r="R171" s="34" t="s">
        <v>109</v>
      </c>
      <c r="S171" s="34"/>
      <c r="T171" s="35">
        <f>7175.06</f>
        <v>7175.06</v>
      </c>
      <c r="U171" s="35"/>
      <c r="V171" s="35"/>
      <c r="W171" s="35">
        <f>7175.06</f>
        <v>7175.06</v>
      </c>
      <c r="X171" s="35"/>
      <c r="Y171" s="35"/>
      <c r="Z171" s="35"/>
      <c r="AA171" s="35"/>
      <c r="AB171" s="36">
        <f>0</f>
        <v>0</v>
      </c>
      <c r="AC171" s="36"/>
    </row>
    <row r="172" spans="1:29" s="1" customFormat="1" ht="13.5" customHeight="1">
      <c r="A172" s="32" t="s">
        <v>116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3" t="s">
        <v>103</v>
      </c>
      <c r="M172" s="33"/>
      <c r="N172" s="33"/>
      <c r="O172" s="33" t="s">
        <v>229</v>
      </c>
      <c r="P172" s="33"/>
      <c r="Q172" s="33"/>
      <c r="R172" s="34" t="s">
        <v>117</v>
      </c>
      <c r="S172" s="34"/>
      <c r="T172" s="35">
        <f>11995.88</f>
        <v>11995.88</v>
      </c>
      <c r="U172" s="35"/>
      <c r="V172" s="35"/>
      <c r="W172" s="35">
        <f>11995.88</f>
        <v>11995.88</v>
      </c>
      <c r="X172" s="35"/>
      <c r="Y172" s="35"/>
      <c r="Z172" s="35"/>
      <c r="AA172" s="35"/>
      <c r="AB172" s="36">
        <f>0</f>
        <v>0</v>
      </c>
      <c r="AC172" s="36"/>
    </row>
    <row r="173" spans="1:29" s="1" customFormat="1" ht="13.5" customHeight="1">
      <c r="A173" s="32" t="s">
        <v>149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3" t="s">
        <v>103</v>
      </c>
      <c r="M173" s="33"/>
      <c r="N173" s="33"/>
      <c r="O173" s="33" t="s">
        <v>230</v>
      </c>
      <c r="P173" s="33"/>
      <c r="Q173" s="33"/>
      <c r="R173" s="34" t="s">
        <v>150</v>
      </c>
      <c r="S173" s="34"/>
      <c r="T173" s="35">
        <f>1740</f>
        <v>1740</v>
      </c>
      <c r="U173" s="35"/>
      <c r="V173" s="35"/>
      <c r="W173" s="35">
        <f>1740</f>
        <v>1740</v>
      </c>
      <c r="X173" s="35"/>
      <c r="Y173" s="35"/>
      <c r="Z173" s="35"/>
      <c r="AA173" s="35"/>
      <c r="AB173" s="36">
        <f>0</f>
        <v>0</v>
      </c>
      <c r="AC173" s="36"/>
    </row>
    <row r="174" spans="1:29" s="1" customFormat="1" ht="13.5" customHeight="1">
      <c r="A174" s="32" t="s">
        <v>163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3" t="s">
        <v>103</v>
      </c>
      <c r="M174" s="33"/>
      <c r="N174" s="33"/>
      <c r="O174" s="33" t="s">
        <v>231</v>
      </c>
      <c r="P174" s="33"/>
      <c r="Q174" s="33"/>
      <c r="R174" s="34" t="s">
        <v>165</v>
      </c>
      <c r="S174" s="34"/>
      <c r="T174" s="35">
        <f>0</f>
        <v>0</v>
      </c>
      <c r="U174" s="35"/>
      <c r="V174" s="35"/>
      <c r="W174" s="37" t="s">
        <v>37</v>
      </c>
      <c r="X174" s="37"/>
      <c r="Y174" s="37"/>
      <c r="Z174" s="37"/>
      <c r="AA174" s="37"/>
      <c r="AB174" s="38" t="s">
        <v>37</v>
      </c>
      <c r="AC174" s="38"/>
    </row>
    <row r="175" spans="1:29" s="1" customFormat="1" ht="13.5" customHeight="1">
      <c r="A175" s="32" t="s">
        <v>116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3" t="s">
        <v>103</v>
      </c>
      <c r="M175" s="33"/>
      <c r="N175" s="33"/>
      <c r="O175" s="33" t="s">
        <v>231</v>
      </c>
      <c r="P175" s="33"/>
      <c r="Q175" s="33"/>
      <c r="R175" s="34" t="s">
        <v>117</v>
      </c>
      <c r="S175" s="34"/>
      <c r="T175" s="35">
        <f>0</f>
        <v>0</v>
      </c>
      <c r="U175" s="35"/>
      <c r="V175" s="35"/>
      <c r="W175" s="37" t="s">
        <v>37</v>
      </c>
      <c r="X175" s="37"/>
      <c r="Y175" s="37"/>
      <c r="Z175" s="37"/>
      <c r="AA175" s="37"/>
      <c r="AB175" s="38" t="s">
        <v>37</v>
      </c>
      <c r="AC175" s="38"/>
    </row>
    <row r="176" spans="1:29" s="1" customFormat="1" ht="13.5" customHeight="1">
      <c r="A176" s="32" t="s">
        <v>143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3" t="s">
        <v>103</v>
      </c>
      <c r="M176" s="33"/>
      <c r="N176" s="33"/>
      <c r="O176" s="33" t="s">
        <v>231</v>
      </c>
      <c r="P176" s="33"/>
      <c r="Q176" s="33"/>
      <c r="R176" s="34" t="s">
        <v>144</v>
      </c>
      <c r="S176" s="34"/>
      <c r="T176" s="35">
        <f>282999</f>
        <v>282999</v>
      </c>
      <c r="U176" s="35"/>
      <c r="V176" s="35"/>
      <c r="W176" s="35">
        <f>282999</f>
        <v>282999</v>
      </c>
      <c r="X176" s="35"/>
      <c r="Y176" s="35"/>
      <c r="Z176" s="35"/>
      <c r="AA176" s="35"/>
      <c r="AB176" s="36">
        <f>0</f>
        <v>0</v>
      </c>
      <c r="AC176" s="36"/>
    </row>
    <row r="177" spans="1:29" s="1" customFormat="1" ht="13.5" customHeight="1">
      <c r="A177" s="32" t="s">
        <v>151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3" t="s">
        <v>103</v>
      </c>
      <c r="M177" s="33"/>
      <c r="N177" s="33"/>
      <c r="O177" s="33" t="s">
        <v>231</v>
      </c>
      <c r="P177" s="33"/>
      <c r="Q177" s="33"/>
      <c r="R177" s="34" t="s">
        <v>152</v>
      </c>
      <c r="S177" s="34"/>
      <c r="T177" s="35">
        <f>213631</f>
        <v>213631</v>
      </c>
      <c r="U177" s="35"/>
      <c r="V177" s="35"/>
      <c r="W177" s="35">
        <f>83631</f>
        <v>83631</v>
      </c>
      <c r="X177" s="35"/>
      <c r="Y177" s="35"/>
      <c r="Z177" s="35"/>
      <c r="AA177" s="35"/>
      <c r="AB177" s="36">
        <f>130000</f>
        <v>130000</v>
      </c>
      <c r="AC177" s="36"/>
    </row>
    <row r="178" spans="1:29" s="1" customFormat="1" ht="13.5" customHeight="1">
      <c r="A178" s="32" t="s">
        <v>143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3" t="s">
        <v>103</v>
      </c>
      <c r="M178" s="33"/>
      <c r="N178" s="33"/>
      <c r="O178" s="33" t="s">
        <v>232</v>
      </c>
      <c r="P178" s="33"/>
      <c r="Q178" s="33"/>
      <c r="R178" s="34" t="s">
        <v>144</v>
      </c>
      <c r="S178" s="34"/>
      <c r="T178" s="35">
        <f>280000</f>
        <v>280000</v>
      </c>
      <c r="U178" s="35"/>
      <c r="V178" s="35"/>
      <c r="W178" s="35">
        <f>280000</f>
        <v>280000</v>
      </c>
      <c r="X178" s="35"/>
      <c r="Y178" s="35"/>
      <c r="Z178" s="35"/>
      <c r="AA178" s="35"/>
      <c r="AB178" s="36">
        <f>0</f>
        <v>0</v>
      </c>
      <c r="AC178" s="36"/>
    </row>
    <row r="179" spans="1:29" s="1" customFormat="1" ht="13.5" customHeight="1">
      <c r="A179" s="32" t="s">
        <v>116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3" t="s">
        <v>103</v>
      </c>
      <c r="M179" s="33"/>
      <c r="N179" s="33"/>
      <c r="O179" s="33" t="s">
        <v>233</v>
      </c>
      <c r="P179" s="33"/>
      <c r="Q179" s="33"/>
      <c r="R179" s="34" t="s">
        <v>117</v>
      </c>
      <c r="S179" s="34"/>
      <c r="T179" s="35">
        <f>725594.83</f>
        <v>725594.83</v>
      </c>
      <c r="U179" s="35"/>
      <c r="V179" s="35"/>
      <c r="W179" s="35">
        <f>725594.83</f>
        <v>725594.83</v>
      </c>
      <c r="X179" s="35"/>
      <c r="Y179" s="35"/>
      <c r="Z179" s="35"/>
      <c r="AA179" s="35"/>
      <c r="AB179" s="36">
        <f>0</f>
        <v>0</v>
      </c>
      <c r="AC179" s="36"/>
    </row>
    <row r="180" spans="1:29" s="1" customFormat="1" ht="13.5" customHeight="1">
      <c r="A180" s="32" t="s">
        <v>104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3" t="s">
        <v>103</v>
      </c>
      <c r="M180" s="33"/>
      <c r="N180" s="33"/>
      <c r="O180" s="33" t="s">
        <v>234</v>
      </c>
      <c r="P180" s="33"/>
      <c r="Q180" s="33"/>
      <c r="R180" s="34" t="s">
        <v>106</v>
      </c>
      <c r="S180" s="34"/>
      <c r="T180" s="35">
        <f>4342056.39</f>
        <v>4342056.39</v>
      </c>
      <c r="U180" s="35"/>
      <c r="V180" s="35"/>
      <c r="W180" s="35">
        <f>4342056.39</f>
        <v>4342056.39</v>
      </c>
      <c r="X180" s="35"/>
      <c r="Y180" s="35"/>
      <c r="Z180" s="35"/>
      <c r="AA180" s="35"/>
      <c r="AB180" s="36">
        <f>0</f>
        <v>0</v>
      </c>
      <c r="AC180" s="36"/>
    </row>
    <row r="181" spans="1:29" s="1" customFormat="1" ht="13.5" customHeight="1">
      <c r="A181" s="32" t="s">
        <v>111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3" t="s">
        <v>103</v>
      </c>
      <c r="M181" s="33"/>
      <c r="N181" s="33"/>
      <c r="O181" s="33" t="s">
        <v>234</v>
      </c>
      <c r="P181" s="33"/>
      <c r="Q181" s="33"/>
      <c r="R181" s="34" t="s">
        <v>112</v>
      </c>
      <c r="S181" s="34"/>
      <c r="T181" s="35">
        <f>11912.53</f>
        <v>11912.53</v>
      </c>
      <c r="U181" s="35"/>
      <c r="V181" s="35"/>
      <c r="W181" s="35">
        <f>11761.53</f>
        <v>11761.53</v>
      </c>
      <c r="X181" s="35"/>
      <c r="Y181" s="35"/>
      <c r="Z181" s="35"/>
      <c r="AA181" s="35"/>
      <c r="AB181" s="36">
        <f>151</f>
        <v>151</v>
      </c>
      <c r="AC181" s="36"/>
    </row>
    <row r="182" spans="1:29" s="1" customFormat="1" ht="13.5" customHeight="1">
      <c r="A182" s="32" t="s">
        <v>173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3" t="s">
        <v>103</v>
      </c>
      <c r="M182" s="33"/>
      <c r="N182" s="33"/>
      <c r="O182" s="33" t="s">
        <v>235</v>
      </c>
      <c r="P182" s="33"/>
      <c r="Q182" s="33"/>
      <c r="R182" s="34" t="s">
        <v>175</v>
      </c>
      <c r="S182" s="34"/>
      <c r="T182" s="35">
        <f>4500</f>
        <v>4500</v>
      </c>
      <c r="U182" s="35"/>
      <c r="V182" s="35"/>
      <c r="W182" s="35">
        <f>4500</f>
        <v>4500</v>
      </c>
      <c r="X182" s="35"/>
      <c r="Y182" s="35"/>
      <c r="Z182" s="35"/>
      <c r="AA182" s="35"/>
      <c r="AB182" s="36">
        <f>0</f>
        <v>0</v>
      </c>
      <c r="AC182" s="36"/>
    </row>
    <row r="183" spans="1:29" s="1" customFormat="1" ht="13.5" customHeight="1">
      <c r="A183" s="32" t="s">
        <v>113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3" t="s">
        <v>103</v>
      </c>
      <c r="M183" s="33"/>
      <c r="N183" s="33"/>
      <c r="O183" s="33" t="s">
        <v>235</v>
      </c>
      <c r="P183" s="33"/>
      <c r="Q183" s="33"/>
      <c r="R183" s="34" t="s">
        <v>115</v>
      </c>
      <c r="S183" s="34"/>
      <c r="T183" s="35">
        <f>75256</f>
        <v>75256</v>
      </c>
      <c r="U183" s="35"/>
      <c r="V183" s="35"/>
      <c r="W183" s="35">
        <f>75077.8</f>
        <v>75077.8</v>
      </c>
      <c r="X183" s="35"/>
      <c r="Y183" s="35"/>
      <c r="Z183" s="35"/>
      <c r="AA183" s="35"/>
      <c r="AB183" s="36">
        <f>178.2</f>
        <v>178.2</v>
      </c>
      <c r="AC183" s="36"/>
    </row>
    <row r="184" spans="1:29" s="1" customFormat="1" ht="13.5" customHeight="1">
      <c r="A184" s="32" t="s">
        <v>107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3" t="s">
        <v>103</v>
      </c>
      <c r="M184" s="33"/>
      <c r="N184" s="33"/>
      <c r="O184" s="33" t="s">
        <v>236</v>
      </c>
      <c r="P184" s="33"/>
      <c r="Q184" s="33"/>
      <c r="R184" s="34" t="s">
        <v>109</v>
      </c>
      <c r="S184" s="34"/>
      <c r="T184" s="35">
        <f>1293068.61</f>
        <v>1293068.61</v>
      </c>
      <c r="U184" s="35"/>
      <c r="V184" s="35"/>
      <c r="W184" s="35">
        <f>1288306.53</f>
        <v>1288306.53</v>
      </c>
      <c r="X184" s="35"/>
      <c r="Y184" s="35"/>
      <c r="Z184" s="35"/>
      <c r="AA184" s="35"/>
      <c r="AB184" s="36">
        <f>4762.08</f>
        <v>4762.08</v>
      </c>
      <c r="AC184" s="36"/>
    </row>
    <row r="185" spans="1:29" s="1" customFormat="1" ht="13.5" customHeight="1">
      <c r="A185" s="32" t="s">
        <v>136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3" t="s">
        <v>103</v>
      </c>
      <c r="M185" s="33"/>
      <c r="N185" s="33"/>
      <c r="O185" s="33" t="s">
        <v>237</v>
      </c>
      <c r="P185" s="33"/>
      <c r="Q185" s="33"/>
      <c r="R185" s="34" t="s">
        <v>138</v>
      </c>
      <c r="S185" s="34"/>
      <c r="T185" s="35">
        <f>0</f>
        <v>0</v>
      </c>
      <c r="U185" s="35"/>
      <c r="V185" s="35"/>
      <c r="W185" s="37" t="s">
        <v>37</v>
      </c>
      <c r="X185" s="37"/>
      <c r="Y185" s="37"/>
      <c r="Z185" s="37"/>
      <c r="AA185" s="37"/>
      <c r="AB185" s="38" t="s">
        <v>37</v>
      </c>
      <c r="AC185" s="38"/>
    </row>
    <row r="186" spans="1:29" s="1" customFormat="1" ht="13.5" customHeight="1">
      <c r="A186" s="32" t="s">
        <v>136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3" t="s">
        <v>103</v>
      </c>
      <c r="M186" s="33"/>
      <c r="N186" s="33"/>
      <c r="O186" s="33" t="s">
        <v>238</v>
      </c>
      <c r="P186" s="33"/>
      <c r="Q186" s="33"/>
      <c r="R186" s="34" t="s">
        <v>138</v>
      </c>
      <c r="S186" s="34"/>
      <c r="T186" s="35">
        <f>66000</f>
        <v>66000</v>
      </c>
      <c r="U186" s="35"/>
      <c r="V186" s="35"/>
      <c r="W186" s="35">
        <f>61803.12</f>
        <v>61803.12</v>
      </c>
      <c r="X186" s="35"/>
      <c r="Y186" s="35"/>
      <c r="Z186" s="35"/>
      <c r="AA186" s="35"/>
      <c r="AB186" s="36">
        <f>4196.88</f>
        <v>4196.88</v>
      </c>
      <c r="AC186" s="36"/>
    </row>
    <row r="187" spans="1:29" s="1" customFormat="1" ht="13.5" customHeight="1">
      <c r="A187" s="32" t="s">
        <v>163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3" t="s">
        <v>103</v>
      </c>
      <c r="M187" s="33"/>
      <c r="N187" s="33"/>
      <c r="O187" s="33" t="s">
        <v>238</v>
      </c>
      <c r="P187" s="33"/>
      <c r="Q187" s="33"/>
      <c r="R187" s="34" t="s">
        <v>165</v>
      </c>
      <c r="S187" s="34"/>
      <c r="T187" s="35">
        <f>74797</f>
        <v>74797</v>
      </c>
      <c r="U187" s="35"/>
      <c r="V187" s="35"/>
      <c r="W187" s="35">
        <f>74797</f>
        <v>74797</v>
      </c>
      <c r="X187" s="35"/>
      <c r="Y187" s="35"/>
      <c r="Z187" s="35"/>
      <c r="AA187" s="35"/>
      <c r="AB187" s="36">
        <f>0</f>
        <v>0</v>
      </c>
      <c r="AC187" s="36"/>
    </row>
    <row r="188" spans="1:29" s="1" customFormat="1" ht="13.5" customHeight="1">
      <c r="A188" s="32" t="s">
        <v>139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3" t="s">
        <v>103</v>
      </c>
      <c r="M188" s="33"/>
      <c r="N188" s="33"/>
      <c r="O188" s="33" t="s">
        <v>238</v>
      </c>
      <c r="P188" s="33"/>
      <c r="Q188" s="33"/>
      <c r="R188" s="34" t="s">
        <v>140</v>
      </c>
      <c r="S188" s="34"/>
      <c r="T188" s="35">
        <f>95337.15</f>
        <v>95337.15</v>
      </c>
      <c r="U188" s="35"/>
      <c r="V188" s="35"/>
      <c r="W188" s="35">
        <f>23859.05</f>
        <v>23859.05</v>
      </c>
      <c r="X188" s="35"/>
      <c r="Y188" s="35"/>
      <c r="Z188" s="35"/>
      <c r="AA188" s="35"/>
      <c r="AB188" s="36">
        <f>71478.1</f>
        <v>71478.1</v>
      </c>
      <c r="AC188" s="36"/>
    </row>
    <row r="189" spans="1:29" s="1" customFormat="1" ht="13.5" customHeight="1">
      <c r="A189" s="32" t="s">
        <v>116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3" t="s">
        <v>103</v>
      </c>
      <c r="M189" s="33"/>
      <c r="N189" s="33"/>
      <c r="O189" s="33" t="s">
        <v>238</v>
      </c>
      <c r="P189" s="33"/>
      <c r="Q189" s="33"/>
      <c r="R189" s="34" t="s">
        <v>117</v>
      </c>
      <c r="S189" s="34"/>
      <c r="T189" s="35">
        <f>86880</f>
        <v>86880</v>
      </c>
      <c r="U189" s="35"/>
      <c r="V189" s="35"/>
      <c r="W189" s="35">
        <f>86380</f>
        <v>86380</v>
      </c>
      <c r="X189" s="35"/>
      <c r="Y189" s="35"/>
      <c r="Z189" s="35"/>
      <c r="AA189" s="35"/>
      <c r="AB189" s="36">
        <f>500</f>
        <v>500</v>
      </c>
      <c r="AC189" s="36"/>
    </row>
    <row r="190" spans="1:29" s="1" customFormat="1" ht="13.5" customHeight="1">
      <c r="A190" s="32" t="s">
        <v>143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3" t="s">
        <v>103</v>
      </c>
      <c r="M190" s="33"/>
      <c r="N190" s="33"/>
      <c r="O190" s="33" t="s">
        <v>238</v>
      </c>
      <c r="P190" s="33"/>
      <c r="Q190" s="33"/>
      <c r="R190" s="34" t="s">
        <v>144</v>
      </c>
      <c r="S190" s="34"/>
      <c r="T190" s="35">
        <f>233711.01</f>
        <v>233711.01</v>
      </c>
      <c r="U190" s="35"/>
      <c r="V190" s="35"/>
      <c r="W190" s="35">
        <f>233425.01</f>
        <v>233425.01</v>
      </c>
      <c r="X190" s="35"/>
      <c r="Y190" s="35"/>
      <c r="Z190" s="35"/>
      <c r="AA190" s="35"/>
      <c r="AB190" s="36">
        <f>286</f>
        <v>286</v>
      </c>
      <c r="AC190" s="36"/>
    </row>
    <row r="191" spans="1:29" s="1" customFormat="1" ht="24" customHeight="1">
      <c r="A191" s="32" t="s">
        <v>145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3" t="s">
        <v>103</v>
      </c>
      <c r="M191" s="33"/>
      <c r="N191" s="33"/>
      <c r="O191" s="33" t="s">
        <v>238</v>
      </c>
      <c r="P191" s="33"/>
      <c r="Q191" s="33"/>
      <c r="R191" s="34" t="s">
        <v>146</v>
      </c>
      <c r="S191" s="34"/>
      <c r="T191" s="35">
        <f>2300</f>
        <v>2300</v>
      </c>
      <c r="U191" s="35"/>
      <c r="V191" s="35"/>
      <c r="W191" s="35">
        <f>2300</f>
        <v>2300</v>
      </c>
      <c r="X191" s="35"/>
      <c r="Y191" s="35"/>
      <c r="Z191" s="35"/>
      <c r="AA191" s="35"/>
      <c r="AB191" s="36">
        <f>0</f>
        <v>0</v>
      </c>
      <c r="AC191" s="36"/>
    </row>
    <row r="192" spans="1:29" s="1" customFormat="1" ht="13.5" customHeight="1">
      <c r="A192" s="32" t="s">
        <v>151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3" t="s">
        <v>103</v>
      </c>
      <c r="M192" s="33"/>
      <c r="N192" s="33"/>
      <c r="O192" s="33" t="s">
        <v>238</v>
      </c>
      <c r="P192" s="33"/>
      <c r="Q192" s="33"/>
      <c r="R192" s="34" t="s">
        <v>152</v>
      </c>
      <c r="S192" s="34"/>
      <c r="T192" s="35">
        <f>213171.24</f>
        <v>213171.24</v>
      </c>
      <c r="U192" s="35"/>
      <c r="V192" s="35"/>
      <c r="W192" s="35">
        <f>209198.88</f>
        <v>209198.88</v>
      </c>
      <c r="X192" s="35"/>
      <c r="Y192" s="35"/>
      <c r="Z192" s="35"/>
      <c r="AA192" s="35"/>
      <c r="AB192" s="36">
        <f>3972.36</f>
        <v>3972.36</v>
      </c>
      <c r="AC192" s="36"/>
    </row>
    <row r="193" spans="1:29" s="1" customFormat="1" ht="13.5" customHeight="1">
      <c r="A193" s="32" t="s">
        <v>139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3" t="s">
        <v>103</v>
      </c>
      <c r="M193" s="33"/>
      <c r="N193" s="33"/>
      <c r="O193" s="33" t="s">
        <v>239</v>
      </c>
      <c r="P193" s="33"/>
      <c r="Q193" s="33"/>
      <c r="R193" s="34" t="s">
        <v>140</v>
      </c>
      <c r="S193" s="34"/>
      <c r="T193" s="35">
        <f>773662.85</f>
        <v>773662.85</v>
      </c>
      <c r="U193" s="35"/>
      <c r="V193" s="35"/>
      <c r="W193" s="35">
        <f>744916.11</f>
        <v>744916.11</v>
      </c>
      <c r="X193" s="35"/>
      <c r="Y193" s="35"/>
      <c r="Z193" s="35"/>
      <c r="AA193" s="35"/>
      <c r="AB193" s="36">
        <f>28746.74</f>
        <v>28746.74</v>
      </c>
      <c r="AC193" s="36"/>
    </row>
    <row r="194" spans="1:29" s="1" customFormat="1" ht="13.5" customHeight="1">
      <c r="A194" s="32" t="s">
        <v>104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3" t="s">
        <v>103</v>
      </c>
      <c r="M194" s="33"/>
      <c r="N194" s="33"/>
      <c r="O194" s="33" t="s">
        <v>240</v>
      </c>
      <c r="P194" s="33"/>
      <c r="Q194" s="33"/>
      <c r="R194" s="34" t="s">
        <v>106</v>
      </c>
      <c r="S194" s="34"/>
      <c r="T194" s="35">
        <f>2464604.59</f>
        <v>2464604.59</v>
      </c>
      <c r="U194" s="35"/>
      <c r="V194" s="35"/>
      <c r="W194" s="35">
        <f>2464604.59</f>
        <v>2464604.59</v>
      </c>
      <c r="X194" s="35"/>
      <c r="Y194" s="35"/>
      <c r="Z194" s="35"/>
      <c r="AA194" s="35"/>
      <c r="AB194" s="36">
        <f aca="true" t="shared" si="1" ref="AB194:AB204">0</f>
        <v>0</v>
      </c>
      <c r="AC194" s="36"/>
    </row>
    <row r="195" spans="1:29" s="1" customFormat="1" ht="13.5" customHeight="1">
      <c r="A195" s="32" t="s">
        <v>107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3" t="s">
        <v>103</v>
      </c>
      <c r="M195" s="33"/>
      <c r="N195" s="33"/>
      <c r="O195" s="33" t="s">
        <v>241</v>
      </c>
      <c r="P195" s="33"/>
      <c r="Q195" s="33"/>
      <c r="R195" s="34" t="s">
        <v>109</v>
      </c>
      <c r="S195" s="34"/>
      <c r="T195" s="35">
        <f>744310.59</f>
        <v>744310.59</v>
      </c>
      <c r="U195" s="35"/>
      <c r="V195" s="35"/>
      <c r="W195" s="35">
        <f>744310.59</f>
        <v>744310.59</v>
      </c>
      <c r="X195" s="35"/>
      <c r="Y195" s="35"/>
      <c r="Z195" s="35"/>
      <c r="AA195" s="35"/>
      <c r="AB195" s="36">
        <f t="shared" si="1"/>
        <v>0</v>
      </c>
      <c r="AC195" s="36"/>
    </row>
    <row r="196" spans="1:29" s="1" customFormat="1" ht="13.5" customHeight="1">
      <c r="A196" s="32" t="s">
        <v>116</v>
      </c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3" t="s">
        <v>103</v>
      </c>
      <c r="M196" s="33"/>
      <c r="N196" s="33"/>
      <c r="O196" s="33" t="s">
        <v>242</v>
      </c>
      <c r="P196" s="33"/>
      <c r="Q196" s="33"/>
      <c r="R196" s="34" t="s">
        <v>117</v>
      </c>
      <c r="S196" s="34"/>
      <c r="T196" s="35">
        <f>990</f>
        <v>990</v>
      </c>
      <c r="U196" s="35"/>
      <c r="V196" s="35"/>
      <c r="W196" s="35">
        <f>990</f>
        <v>990</v>
      </c>
      <c r="X196" s="35"/>
      <c r="Y196" s="35"/>
      <c r="Z196" s="35"/>
      <c r="AA196" s="35"/>
      <c r="AB196" s="36">
        <f t="shared" si="1"/>
        <v>0</v>
      </c>
      <c r="AC196" s="36"/>
    </row>
    <row r="197" spans="1:29" s="1" customFormat="1" ht="13.5" customHeight="1">
      <c r="A197" s="32" t="s">
        <v>151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3" t="s">
        <v>103</v>
      </c>
      <c r="M197" s="33"/>
      <c r="N197" s="33"/>
      <c r="O197" s="33" t="s">
        <v>242</v>
      </c>
      <c r="P197" s="33"/>
      <c r="Q197" s="33"/>
      <c r="R197" s="34" t="s">
        <v>152</v>
      </c>
      <c r="S197" s="34"/>
      <c r="T197" s="35">
        <f>27872.07</f>
        <v>27872.07</v>
      </c>
      <c r="U197" s="35"/>
      <c r="V197" s="35"/>
      <c r="W197" s="35">
        <f>27872.07</f>
        <v>27872.07</v>
      </c>
      <c r="X197" s="35"/>
      <c r="Y197" s="35"/>
      <c r="Z197" s="35"/>
      <c r="AA197" s="35"/>
      <c r="AB197" s="36">
        <f t="shared" si="1"/>
        <v>0</v>
      </c>
      <c r="AC197" s="36"/>
    </row>
    <row r="198" spans="1:29" s="1" customFormat="1" ht="24" customHeight="1">
      <c r="A198" s="32" t="s">
        <v>219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3" t="s">
        <v>103</v>
      </c>
      <c r="M198" s="33"/>
      <c r="N198" s="33"/>
      <c r="O198" s="33" t="s">
        <v>242</v>
      </c>
      <c r="P198" s="33"/>
      <c r="Q198" s="33"/>
      <c r="R198" s="34" t="s">
        <v>220</v>
      </c>
      <c r="S198" s="34"/>
      <c r="T198" s="35">
        <f>20870</f>
        <v>20870</v>
      </c>
      <c r="U198" s="35"/>
      <c r="V198" s="35"/>
      <c r="W198" s="35">
        <f>20870</f>
        <v>20870</v>
      </c>
      <c r="X198" s="35"/>
      <c r="Y198" s="35"/>
      <c r="Z198" s="35"/>
      <c r="AA198" s="35"/>
      <c r="AB198" s="36">
        <f t="shared" si="1"/>
        <v>0</v>
      </c>
      <c r="AC198" s="36"/>
    </row>
    <row r="199" spans="1:29" s="1" customFormat="1" ht="24" customHeight="1">
      <c r="A199" s="32" t="s">
        <v>130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3" t="s">
        <v>103</v>
      </c>
      <c r="M199" s="33"/>
      <c r="N199" s="33"/>
      <c r="O199" s="33" t="s">
        <v>242</v>
      </c>
      <c r="P199" s="33"/>
      <c r="Q199" s="33"/>
      <c r="R199" s="34" t="s">
        <v>132</v>
      </c>
      <c r="S199" s="34"/>
      <c r="T199" s="35">
        <f>97226.17</f>
        <v>97226.17</v>
      </c>
      <c r="U199" s="35"/>
      <c r="V199" s="35"/>
      <c r="W199" s="35">
        <f>97226.17</f>
        <v>97226.17</v>
      </c>
      <c r="X199" s="35"/>
      <c r="Y199" s="35"/>
      <c r="Z199" s="35"/>
      <c r="AA199" s="35"/>
      <c r="AB199" s="36">
        <f t="shared" si="1"/>
        <v>0</v>
      </c>
      <c r="AC199" s="36"/>
    </row>
    <row r="200" spans="1:29" s="1" customFormat="1" ht="13.5" customHeight="1">
      <c r="A200" s="32" t="s">
        <v>116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3" t="s">
        <v>103</v>
      </c>
      <c r="M200" s="33"/>
      <c r="N200" s="33"/>
      <c r="O200" s="33" t="s">
        <v>243</v>
      </c>
      <c r="P200" s="33"/>
      <c r="Q200" s="33"/>
      <c r="R200" s="34" t="s">
        <v>117</v>
      </c>
      <c r="S200" s="34"/>
      <c r="T200" s="35">
        <f>50000</f>
        <v>50000</v>
      </c>
      <c r="U200" s="35"/>
      <c r="V200" s="35"/>
      <c r="W200" s="35">
        <f>50000</f>
        <v>50000</v>
      </c>
      <c r="X200" s="35"/>
      <c r="Y200" s="35"/>
      <c r="Z200" s="35"/>
      <c r="AA200" s="35"/>
      <c r="AB200" s="36">
        <f t="shared" si="1"/>
        <v>0</v>
      </c>
      <c r="AC200" s="36"/>
    </row>
    <row r="201" spans="1:29" s="1" customFormat="1" ht="13.5" customHeight="1">
      <c r="A201" s="32" t="s">
        <v>151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3" t="s">
        <v>103</v>
      </c>
      <c r="M201" s="33"/>
      <c r="N201" s="33"/>
      <c r="O201" s="33" t="s">
        <v>243</v>
      </c>
      <c r="P201" s="33"/>
      <c r="Q201" s="33"/>
      <c r="R201" s="34" t="s">
        <v>152</v>
      </c>
      <c r="S201" s="34"/>
      <c r="T201" s="35">
        <f>610</f>
        <v>610</v>
      </c>
      <c r="U201" s="35"/>
      <c r="V201" s="35"/>
      <c r="W201" s="35">
        <f>610</f>
        <v>610</v>
      </c>
      <c r="X201" s="35"/>
      <c r="Y201" s="35"/>
      <c r="Z201" s="35"/>
      <c r="AA201" s="35"/>
      <c r="AB201" s="36">
        <f t="shared" si="1"/>
        <v>0</v>
      </c>
      <c r="AC201" s="36"/>
    </row>
    <row r="202" spans="1:29" s="1" customFormat="1" ht="24" customHeight="1">
      <c r="A202" s="32" t="s">
        <v>219</v>
      </c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3" t="s">
        <v>103</v>
      </c>
      <c r="M202" s="33"/>
      <c r="N202" s="33"/>
      <c r="O202" s="33" t="s">
        <v>243</v>
      </c>
      <c r="P202" s="33"/>
      <c r="Q202" s="33"/>
      <c r="R202" s="34" t="s">
        <v>220</v>
      </c>
      <c r="S202" s="34"/>
      <c r="T202" s="35">
        <f>9773</f>
        <v>9773</v>
      </c>
      <c r="U202" s="35"/>
      <c r="V202" s="35"/>
      <c r="W202" s="35">
        <f>9773</f>
        <v>9773</v>
      </c>
      <c r="X202" s="35"/>
      <c r="Y202" s="35"/>
      <c r="Z202" s="35"/>
      <c r="AA202" s="35"/>
      <c r="AB202" s="36">
        <f t="shared" si="1"/>
        <v>0</v>
      </c>
      <c r="AC202" s="36"/>
    </row>
    <row r="203" spans="1:29" s="1" customFormat="1" ht="24" customHeight="1">
      <c r="A203" s="32" t="s">
        <v>130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3" t="s">
        <v>103</v>
      </c>
      <c r="M203" s="33"/>
      <c r="N203" s="33"/>
      <c r="O203" s="33" t="s">
        <v>243</v>
      </c>
      <c r="P203" s="33"/>
      <c r="Q203" s="33"/>
      <c r="R203" s="34" t="s">
        <v>132</v>
      </c>
      <c r="S203" s="34"/>
      <c r="T203" s="35">
        <f>39617</f>
        <v>39617</v>
      </c>
      <c r="U203" s="35"/>
      <c r="V203" s="35"/>
      <c r="W203" s="35">
        <f>39617</f>
        <v>39617</v>
      </c>
      <c r="X203" s="35"/>
      <c r="Y203" s="35"/>
      <c r="Z203" s="35"/>
      <c r="AA203" s="35"/>
      <c r="AB203" s="36">
        <f t="shared" si="1"/>
        <v>0</v>
      </c>
      <c r="AC203" s="36"/>
    </row>
    <row r="204" spans="1:29" s="1" customFormat="1" ht="24" customHeight="1">
      <c r="A204" s="32" t="s">
        <v>244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3" t="s">
        <v>103</v>
      </c>
      <c r="M204" s="33"/>
      <c r="N204" s="33"/>
      <c r="O204" s="33" t="s">
        <v>245</v>
      </c>
      <c r="P204" s="33"/>
      <c r="Q204" s="33"/>
      <c r="R204" s="34" t="s">
        <v>246</v>
      </c>
      <c r="S204" s="34"/>
      <c r="T204" s="35">
        <f>620628</f>
        <v>620628</v>
      </c>
      <c r="U204" s="35"/>
      <c r="V204" s="35"/>
      <c r="W204" s="35">
        <f>620628</f>
        <v>620628</v>
      </c>
      <c r="X204" s="35"/>
      <c r="Y204" s="35"/>
      <c r="Z204" s="35"/>
      <c r="AA204" s="35"/>
      <c r="AB204" s="36">
        <f t="shared" si="1"/>
        <v>0</v>
      </c>
      <c r="AC204" s="36"/>
    </row>
    <row r="205" spans="1:29" s="1" customFormat="1" ht="24" customHeight="1">
      <c r="A205" s="32" t="s">
        <v>130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3" t="s">
        <v>103</v>
      </c>
      <c r="M205" s="33"/>
      <c r="N205" s="33"/>
      <c r="O205" s="33" t="s">
        <v>247</v>
      </c>
      <c r="P205" s="33"/>
      <c r="Q205" s="33"/>
      <c r="R205" s="34" t="s">
        <v>132</v>
      </c>
      <c r="S205" s="34"/>
      <c r="T205" s="35">
        <f>30000</f>
        <v>30000</v>
      </c>
      <c r="U205" s="35"/>
      <c r="V205" s="35"/>
      <c r="W205" s="35">
        <f>11000</f>
        <v>11000</v>
      </c>
      <c r="X205" s="35"/>
      <c r="Y205" s="35"/>
      <c r="Z205" s="35"/>
      <c r="AA205" s="35"/>
      <c r="AB205" s="36">
        <f>19000</f>
        <v>19000</v>
      </c>
      <c r="AC205" s="36"/>
    </row>
    <row r="206" spans="1:29" s="1" customFormat="1" ht="15" customHeight="1">
      <c r="A206" s="39" t="s">
        <v>248</v>
      </c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40" t="s">
        <v>249</v>
      </c>
      <c r="M206" s="40"/>
      <c r="N206" s="40"/>
      <c r="O206" s="40" t="s">
        <v>36</v>
      </c>
      <c r="P206" s="40"/>
      <c r="Q206" s="40"/>
      <c r="R206" s="41" t="s">
        <v>36</v>
      </c>
      <c r="S206" s="41"/>
      <c r="T206" s="42">
        <f>-2718102.36</f>
        <v>-2718102.36</v>
      </c>
      <c r="U206" s="42"/>
      <c r="V206" s="42"/>
      <c r="W206" s="42">
        <f>-658035.87</f>
        <v>-658035.87</v>
      </c>
      <c r="X206" s="42"/>
      <c r="Y206" s="42"/>
      <c r="Z206" s="42"/>
      <c r="AA206" s="42"/>
      <c r="AB206" s="43" t="s">
        <v>36</v>
      </c>
      <c r="AC206" s="43"/>
    </row>
    <row r="207" spans="1:29" s="1" customFormat="1" ht="13.5" customHeight="1">
      <c r="A207" s="7" t="s">
        <v>10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s="1" customFormat="1" ht="13.5" customHeight="1">
      <c r="A208" s="12" t="s">
        <v>250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</row>
    <row r="209" spans="1:29" s="1" customFormat="1" ht="45.75" customHeight="1">
      <c r="A209" s="13" t="s">
        <v>22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 t="s">
        <v>23</v>
      </c>
      <c r="N209" s="13"/>
      <c r="O209" s="13"/>
      <c r="P209" s="13" t="s">
        <v>251</v>
      </c>
      <c r="Q209" s="13"/>
      <c r="R209" s="13"/>
      <c r="S209" s="14" t="s">
        <v>25</v>
      </c>
      <c r="T209" s="14"/>
      <c r="U209" s="14"/>
      <c r="V209" s="14" t="s">
        <v>26</v>
      </c>
      <c r="W209" s="14"/>
      <c r="X209" s="14"/>
      <c r="Y209" s="14"/>
      <c r="Z209" s="14"/>
      <c r="AA209" s="15" t="s">
        <v>27</v>
      </c>
      <c r="AB209" s="15"/>
      <c r="AC209" s="15"/>
    </row>
    <row r="210" spans="1:29" s="1" customFormat="1" ht="12.75" customHeight="1">
      <c r="A210" s="16" t="s">
        <v>28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 t="s">
        <v>29</v>
      </c>
      <c r="N210" s="16"/>
      <c r="O210" s="16"/>
      <c r="P210" s="16" t="s">
        <v>30</v>
      </c>
      <c r="Q210" s="16"/>
      <c r="R210" s="16"/>
      <c r="S210" s="17" t="s">
        <v>31</v>
      </c>
      <c r="T210" s="17"/>
      <c r="U210" s="17"/>
      <c r="V210" s="17" t="s">
        <v>32</v>
      </c>
      <c r="W210" s="17"/>
      <c r="X210" s="17"/>
      <c r="Y210" s="17"/>
      <c r="Z210" s="17"/>
      <c r="AA210" s="18" t="s">
        <v>33</v>
      </c>
      <c r="AB210" s="18"/>
      <c r="AC210" s="18"/>
    </row>
    <row r="211" spans="1:29" s="1" customFormat="1" ht="13.5" customHeight="1">
      <c r="A211" s="19" t="s">
        <v>252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 t="s">
        <v>253</v>
      </c>
      <c r="N211" s="20"/>
      <c r="O211" s="20"/>
      <c r="P211" s="20" t="s">
        <v>36</v>
      </c>
      <c r="Q211" s="20"/>
      <c r="R211" s="20"/>
      <c r="S211" s="44">
        <f>2718102.36</f>
        <v>2718102.36</v>
      </c>
      <c r="T211" s="44"/>
      <c r="U211" s="44"/>
      <c r="V211" s="21">
        <f>658035.87</f>
        <v>658035.87</v>
      </c>
      <c r="W211" s="21"/>
      <c r="X211" s="21"/>
      <c r="Y211" s="21"/>
      <c r="Z211" s="21"/>
      <c r="AA211" s="45" t="s">
        <v>36</v>
      </c>
      <c r="AB211" s="45"/>
      <c r="AC211" s="45"/>
    </row>
    <row r="212" spans="1:29" s="1" customFormat="1" ht="13.5" customHeight="1">
      <c r="A212" s="46" t="s">
        <v>254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7" t="s">
        <v>10</v>
      </c>
      <c r="N212" s="47"/>
      <c r="O212" s="47"/>
      <c r="P212" s="47" t="s">
        <v>10</v>
      </c>
      <c r="Q212" s="47"/>
      <c r="R212" s="47"/>
      <c r="S212" s="48" t="s">
        <v>10</v>
      </c>
      <c r="T212" s="48"/>
      <c r="U212" s="48"/>
      <c r="V212" s="49" t="s">
        <v>10</v>
      </c>
      <c r="W212" s="49"/>
      <c r="X212" s="49"/>
      <c r="Y212" s="49"/>
      <c r="Z212" s="49"/>
      <c r="AA212" s="50" t="s">
        <v>10</v>
      </c>
      <c r="AB212" s="50"/>
      <c r="AC212" s="50"/>
    </row>
    <row r="213" spans="1:29" s="1" customFormat="1" ht="13.5" customHeight="1">
      <c r="A213" s="23" t="s">
        <v>255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51" t="s">
        <v>256</v>
      </c>
      <c r="N213" s="51"/>
      <c r="O213" s="51"/>
      <c r="P213" s="24" t="s">
        <v>36</v>
      </c>
      <c r="Q213" s="24"/>
      <c r="R213" s="24"/>
      <c r="S213" s="52" t="s">
        <v>37</v>
      </c>
      <c r="T213" s="52"/>
      <c r="U213" s="52"/>
      <c r="V213" s="28" t="s">
        <v>37</v>
      </c>
      <c r="W213" s="28"/>
      <c r="X213" s="28"/>
      <c r="Y213" s="28"/>
      <c r="Z213" s="28"/>
      <c r="AA213" s="53" t="s">
        <v>37</v>
      </c>
      <c r="AB213" s="53"/>
      <c r="AC213" s="53"/>
    </row>
    <row r="214" spans="1:29" s="1" customFormat="1" ht="13.5" customHeight="1">
      <c r="A214" s="32" t="s">
        <v>10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3" t="s">
        <v>256</v>
      </c>
      <c r="N214" s="33"/>
      <c r="O214" s="33"/>
      <c r="P214" s="33" t="s">
        <v>10</v>
      </c>
      <c r="Q214" s="33"/>
      <c r="R214" s="33"/>
      <c r="S214" s="54" t="s">
        <v>37</v>
      </c>
      <c r="T214" s="54"/>
      <c r="U214" s="54"/>
      <c r="V214" s="37" t="s">
        <v>37</v>
      </c>
      <c r="W214" s="37"/>
      <c r="X214" s="37"/>
      <c r="Y214" s="37"/>
      <c r="Z214" s="37"/>
      <c r="AA214" s="55" t="s">
        <v>37</v>
      </c>
      <c r="AB214" s="55"/>
      <c r="AC214" s="55"/>
    </row>
    <row r="215" spans="1:29" s="1" customFormat="1" ht="13.5" customHeight="1">
      <c r="A215" s="32" t="s">
        <v>257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47" t="s">
        <v>258</v>
      </c>
      <c r="N215" s="47"/>
      <c r="O215" s="47"/>
      <c r="P215" s="47" t="s">
        <v>36</v>
      </c>
      <c r="Q215" s="47"/>
      <c r="R215" s="47"/>
      <c r="S215" s="48" t="s">
        <v>37</v>
      </c>
      <c r="T215" s="48"/>
      <c r="U215" s="48"/>
      <c r="V215" s="37" t="s">
        <v>37</v>
      </c>
      <c r="W215" s="37"/>
      <c r="X215" s="37"/>
      <c r="Y215" s="37"/>
      <c r="Z215" s="37"/>
      <c r="AA215" s="50" t="s">
        <v>37</v>
      </c>
      <c r="AB215" s="50"/>
      <c r="AC215" s="50"/>
    </row>
    <row r="216" spans="1:29" s="1" customFormat="1" ht="13.5" customHeight="1">
      <c r="A216" s="32" t="s">
        <v>10</v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3" t="s">
        <v>258</v>
      </c>
      <c r="N216" s="33"/>
      <c r="O216" s="33"/>
      <c r="P216" s="33" t="s">
        <v>10</v>
      </c>
      <c r="Q216" s="33"/>
      <c r="R216" s="33"/>
      <c r="S216" s="54" t="s">
        <v>37</v>
      </c>
      <c r="T216" s="54"/>
      <c r="U216" s="54"/>
      <c r="V216" s="37" t="s">
        <v>37</v>
      </c>
      <c r="W216" s="37"/>
      <c r="X216" s="37"/>
      <c r="Y216" s="37"/>
      <c r="Z216" s="37"/>
      <c r="AA216" s="55" t="s">
        <v>37</v>
      </c>
      <c r="AB216" s="55"/>
      <c r="AC216" s="55"/>
    </row>
    <row r="217" spans="1:29" s="1" customFormat="1" ht="13.5" customHeight="1">
      <c r="A217" s="32" t="s">
        <v>259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3" t="s">
        <v>260</v>
      </c>
      <c r="N217" s="33"/>
      <c r="O217" s="33"/>
      <c r="P217" s="33" t="s">
        <v>261</v>
      </c>
      <c r="Q217" s="33"/>
      <c r="R217" s="33"/>
      <c r="S217" s="56">
        <f>2718102.36</f>
        <v>2718102.36</v>
      </c>
      <c r="T217" s="56"/>
      <c r="U217" s="56"/>
      <c r="V217" s="35">
        <f>658035.87</f>
        <v>658035.87</v>
      </c>
      <c r="W217" s="35"/>
      <c r="X217" s="35"/>
      <c r="Y217" s="35"/>
      <c r="Z217" s="35"/>
      <c r="AA217" s="57">
        <f>2060066.49</f>
        <v>2060066.49</v>
      </c>
      <c r="AB217" s="57"/>
      <c r="AC217" s="57"/>
    </row>
    <row r="218" spans="1:29" s="1" customFormat="1" ht="13.5" customHeight="1">
      <c r="A218" s="32" t="s">
        <v>262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3" t="s">
        <v>263</v>
      </c>
      <c r="N218" s="33"/>
      <c r="O218" s="33"/>
      <c r="P218" s="33" t="s">
        <v>264</v>
      </c>
      <c r="Q218" s="33"/>
      <c r="R218" s="33"/>
      <c r="S218" s="56">
        <f>-52021865.08</f>
        <v>-52021865.08</v>
      </c>
      <c r="T218" s="56"/>
      <c r="U218" s="56"/>
      <c r="V218" s="35">
        <f>-52546053.88</f>
        <v>-52546053.88</v>
      </c>
      <c r="W218" s="35"/>
      <c r="X218" s="35"/>
      <c r="Y218" s="35"/>
      <c r="Z218" s="35"/>
      <c r="AA218" s="58" t="s">
        <v>36</v>
      </c>
      <c r="AB218" s="58"/>
      <c r="AC218" s="58"/>
    </row>
    <row r="219" spans="1:29" s="1" customFormat="1" ht="13.5" customHeight="1">
      <c r="A219" s="32" t="s">
        <v>265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3" t="s">
        <v>266</v>
      </c>
      <c r="N219" s="33"/>
      <c r="O219" s="33"/>
      <c r="P219" s="33" t="s">
        <v>267</v>
      </c>
      <c r="Q219" s="33"/>
      <c r="R219" s="33"/>
      <c r="S219" s="56">
        <f>54739967.44</f>
        <v>54739967.44</v>
      </c>
      <c r="T219" s="56"/>
      <c r="U219" s="56"/>
      <c r="V219" s="35">
        <f>53204089.75</f>
        <v>53204089.75</v>
      </c>
      <c r="W219" s="35"/>
      <c r="X219" s="35"/>
      <c r="Y219" s="35"/>
      <c r="Z219" s="35"/>
      <c r="AA219" s="58" t="s">
        <v>36</v>
      </c>
      <c r="AB219" s="58"/>
      <c r="AC219" s="58"/>
    </row>
    <row r="220" spans="1:29" s="1" customFormat="1" ht="13.5" customHeight="1">
      <c r="A220" s="60" t="s">
        <v>10</v>
      </c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</row>
    <row r="221" spans="1:29" s="1" customFormat="1" ht="13.5" customHeight="1">
      <c r="A221" s="7" t="s">
        <v>268</v>
      </c>
      <c r="B221" s="7"/>
      <c r="C221" s="7"/>
      <c r="D221" s="7"/>
      <c r="E221" s="7"/>
      <c r="F221" s="7"/>
      <c r="G221" s="7"/>
      <c r="H221" s="7"/>
      <c r="I221" s="59" t="s">
        <v>10</v>
      </c>
      <c r="J221" s="59"/>
      <c r="K221" s="59"/>
      <c r="L221" s="59"/>
      <c r="M221" s="59"/>
      <c r="N221" s="59"/>
      <c r="O221" s="59"/>
      <c r="P221" s="59" t="s">
        <v>269</v>
      </c>
      <c r="Q221" s="59"/>
      <c r="R221" s="59"/>
      <c r="S221" s="59"/>
      <c r="T221" s="59"/>
      <c r="U221" s="7" t="s">
        <v>10</v>
      </c>
      <c r="V221" s="7"/>
      <c r="W221" s="7"/>
      <c r="X221" s="7"/>
      <c r="Y221" s="7"/>
      <c r="Z221" s="7"/>
      <c r="AA221" s="7"/>
      <c r="AB221" s="7"/>
      <c r="AC221" s="7"/>
    </row>
    <row r="222" spans="1:29" s="1" customFormat="1" ht="13.5" customHeight="1">
      <c r="A222" s="7" t="s">
        <v>10</v>
      </c>
      <c r="B222" s="7"/>
      <c r="C222" s="7"/>
      <c r="D222" s="7"/>
      <c r="E222" s="7"/>
      <c r="F222" s="7"/>
      <c r="G222" s="7"/>
      <c r="H222" s="7"/>
      <c r="I222" s="10" t="s">
        <v>10</v>
      </c>
      <c r="J222" s="61" t="s">
        <v>270</v>
      </c>
      <c r="K222" s="61"/>
      <c r="L222" s="61"/>
      <c r="M222" s="61"/>
      <c r="N222" s="7" t="s">
        <v>10</v>
      </c>
      <c r="O222" s="7"/>
      <c r="P222" s="10" t="s">
        <v>10</v>
      </c>
      <c r="Q222" s="61" t="s">
        <v>271</v>
      </c>
      <c r="R222" s="61"/>
      <c r="S222" s="61"/>
      <c r="T222" s="7" t="s">
        <v>10</v>
      </c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s="1" customFormat="1" ht="7.5" customHeight="1">
      <c r="A223" s="7" t="s">
        <v>10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s="1" customFormat="1" ht="13.5" customHeight="1">
      <c r="A224" s="7" t="s">
        <v>272</v>
      </c>
      <c r="B224" s="7"/>
      <c r="C224" s="7"/>
      <c r="D224" s="7"/>
      <c r="E224" s="7"/>
      <c r="F224" s="7"/>
      <c r="G224" s="7"/>
      <c r="H224" s="7"/>
      <c r="I224" s="59" t="s">
        <v>10</v>
      </c>
      <c r="J224" s="59"/>
      <c r="K224" s="59"/>
      <c r="L224" s="59"/>
      <c r="M224" s="59"/>
      <c r="N224" s="59"/>
      <c r="O224" s="59"/>
      <c r="P224" s="59" t="s">
        <v>273</v>
      </c>
      <c r="Q224" s="59"/>
      <c r="R224" s="59"/>
      <c r="S224" s="59"/>
      <c r="T224" s="59"/>
      <c r="U224" s="7" t="s">
        <v>10</v>
      </c>
      <c r="V224" s="7"/>
      <c r="W224" s="7"/>
      <c r="X224" s="7"/>
      <c r="Y224" s="7"/>
      <c r="Z224" s="7"/>
      <c r="AA224" s="7"/>
      <c r="AB224" s="7"/>
      <c r="AC224" s="7"/>
    </row>
    <row r="225" spans="1:29" s="1" customFormat="1" ht="13.5" customHeight="1">
      <c r="A225" s="7" t="s">
        <v>10</v>
      </c>
      <c r="B225" s="7"/>
      <c r="C225" s="7"/>
      <c r="D225" s="7"/>
      <c r="E225" s="7"/>
      <c r="F225" s="7"/>
      <c r="G225" s="7"/>
      <c r="H225" s="7"/>
      <c r="I225" s="10" t="s">
        <v>10</v>
      </c>
      <c r="J225" s="61" t="s">
        <v>270</v>
      </c>
      <c r="K225" s="61"/>
      <c r="L225" s="61"/>
      <c r="M225" s="61"/>
      <c r="N225" s="7" t="s">
        <v>10</v>
      </c>
      <c r="O225" s="7"/>
      <c r="P225" s="10" t="s">
        <v>10</v>
      </c>
      <c r="Q225" s="61" t="s">
        <v>271</v>
      </c>
      <c r="R225" s="61"/>
      <c r="S225" s="61"/>
      <c r="T225" s="7" t="s">
        <v>10</v>
      </c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s="1" customFormat="1" ht="7.5" customHeight="1">
      <c r="A226" s="7" t="s">
        <v>10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 s="1" customFormat="1" ht="13.5" customHeight="1">
      <c r="A227" s="7" t="s">
        <v>274</v>
      </c>
      <c r="B227" s="7"/>
      <c r="C227" s="59" t="s">
        <v>272</v>
      </c>
      <c r="D227" s="59"/>
      <c r="E227" s="59"/>
      <c r="F227" s="59"/>
      <c r="G227" s="59"/>
      <c r="H227" s="59"/>
      <c r="I227" s="59" t="s">
        <v>10</v>
      </c>
      <c r="J227" s="59"/>
      <c r="K227" s="59"/>
      <c r="L227" s="59"/>
      <c r="M227" s="59"/>
      <c r="N227" s="59"/>
      <c r="O227" s="59"/>
      <c r="P227" s="59" t="s">
        <v>273</v>
      </c>
      <c r="Q227" s="59"/>
      <c r="R227" s="59"/>
      <c r="S227" s="59"/>
      <c r="T227" s="59"/>
      <c r="U227" s="7" t="s">
        <v>10</v>
      </c>
      <c r="V227" s="7"/>
      <c r="W227" s="7"/>
      <c r="X227" s="7"/>
      <c r="Y227" s="7"/>
      <c r="Z227" s="7"/>
      <c r="AA227" s="7"/>
      <c r="AB227" s="7"/>
      <c r="AC227" s="7"/>
    </row>
    <row r="228" spans="1:29" s="1" customFormat="1" ht="13.5" customHeight="1">
      <c r="A228" s="7" t="s">
        <v>10</v>
      </c>
      <c r="B228" s="7"/>
      <c r="C228" s="10" t="s">
        <v>10</v>
      </c>
      <c r="D228" s="61" t="s">
        <v>275</v>
      </c>
      <c r="E228" s="61"/>
      <c r="F228" s="61"/>
      <c r="G228" s="61"/>
      <c r="H228" s="10" t="s">
        <v>10</v>
      </c>
      <c r="I228" s="10" t="s">
        <v>10</v>
      </c>
      <c r="J228" s="61" t="s">
        <v>270</v>
      </c>
      <c r="K228" s="61"/>
      <c r="L228" s="61"/>
      <c r="M228" s="61"/>
      <c r="N228" s="7" t="s">
        <v>10</v>
      </c>
      <c r="O228" s="7"/>
      <c r="P228" s="10" t="s">
        <v>10</v>
      </c>
      <c r="Q228" s="61" t="s">
        <v>271</v>
      </c>
      <c r="R228" s="61"/>
      <c r="S228" s="61"/>
      <c r="T228" s="7" t="s">
        <v>10</v>
      </c>
      <c r="U228" s="7"/>
      <c r="V228" s="7"/>
      <c r="W228" s="7"/>
      <c r="X228" s="7"/>
      <c r="Y228" s="7"/>
      <c r="Z228" s="7"/>
      <c r="AA228" s="7"/>
      <c r="AB228" s="7"/>
      <c r="AC228" s="7"/>
    </row>
    <row r="229" spans="1:29" s="1" customFormat="1" ht="15.75" customHeight="1">
      <c r="A229" s="7" t="s">
        <v>10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 s="1" customFormat="1" ht="13.5" customHeight="1">
      <c r="A230" s="62" t="s">
        <v>276</v>
      </c>
      <c r="B230" s="62"/>
      <c r="C230" s="62"/>
      <c r="D230" s="62"/>
      <c r="E230" s="62"/>
      <c r="F230" s="62"/>
      <c r="G230" s="62"/>
      <c r="H230" s="62"/>
      <c r="I230" s="62"/>
      <c r="J230" s="62"/>
      <c r="K230" s="7" t="s">
        <v>10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 s="1" customFormat="1" ht="13.5" customHeight="1">
      <c r="A231" s="4" t="s">
        <v>277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</sheetData>
  <sheetProtection/>
  <mergeCells count="1454">
    <mergeCell ref="A229:AC229"/>
    <mergeCell ref="A230:J230"/>
    <mergeCell ref="K230:AC230"/>
    <mergeCell ref="A231:AC231"/>
    <mergeCell ref="A228:B228"/>
    <mergeCell ref="D228:G228"/>
    <mergeCell ref="J228:M228"/>
    <mergeCell ref="N228:O228"/>
    <mergeCell ref="Q228:S228"/>
    <mergeCell ref="T228:AC228"/>
    <mergeCell ref="A226:AC226"/>
    <mergeCell ref="A227:B227"/>
    <mergeCell ref="C227:H227"/>
    <mergeCell ref="I227:O227"/>
    <mergeCell ref="P227:T227"/>
    <mergeCell ref="U227:AC227"/>
    <mergeCell ref="A223:AC223"/>
    <mergeCell ref="A224:H224"/>
    <mergeCell ref="I224:O224"/>
    <mergeCell ref="P224:T224"/>
    <mergeCell ref="U224:AC224"/>
    <mergeCell ref="A225:H225"/>
    <mergeCell ref="J225:M225"/>
    <mergeCell ref="N225:O225"/>
    <mergeCell ref="Q225:S225"/>
    <mergeCell ref="T225:AC225"/>
    <mergeCell ref="A220:AC220"/>
    <mergeCell ref="A221:H221"/>
    <mergeCell ref="I221:O221"/>
    <mergeCell ref="P221:T221"/>
    <mergeCell ref="U221:AC221"/>
    <mergeCell ref="A222:H222"/>
    <mergeCell ref="J222:M222"/>
    <mergeCell ref="N222:O222"/>
    <mergeCell ref="Q222:S222"/>
    <mergeCell ref="T222:AC222"/>
    <mergeCell ref="A219:L219"/>
    <mergeCell ref="M219:O219"/>
    <mergeCell ref="P219:R219"/>
    <mergeCell ref="S219:U219"/>
    <mergeCell ref="V219:Z219"/>
    <mergeCell ref="AA219:AC219"/>
    <mergeCell ref="A218:L218"/>
    <mergeCell ref="M218:O218"/>
    <mergeCell ref="P218:R218"/>
    <mergeCell ref="S218:U218"/>
    <mergeCell ref="V218:Z218"/>
    <mergeCell ref="AA218:AC218"/>
    <mergeCell ref="A217:L217"/>
    <mergeCell ref="M217:O217"/>
    <mergeCell ref="P217:R217"/>
    <mergeCell ref="S217:U217"/>
    <mergeCell ref="V217:Z217"/>
    <mergeCell ref="AA217:AC217"/>
    <mergeCell ref="A216:L216"/>
    <mergeCell ref="M216:O216"/>
    <mergeCell ref="P216:R216"/>
    <mergeCell ref="S216:U216"/>
    <mergeCell ref="V216:Z216"/>
    <mergeCell ref="AA216:AC216"/>
    <mergeCell ref="A215:L215"/>
    <mergeCell ref="M215:O215"/>
    <mergeCell ref="P215:R215"/>
    <mergeCell ref="S215:U215"/>
    <mergeCell ref="V215:Z215"/>
    <mergeCell ref="AA215:AC215"/>
    <mergeCell ref="A214:L214"/>
    <mergeCell ref="M214:O214"/>
    <mergeCell ref="P214:R214"/>
    <mergeCell ref="S214:U214"/>
    <mergeCell ref="V214:Z214"/>
    <mergeCell ref="AA214:AC214"/>
    <mergeCell ref="A213:L213"/>
    <mergeCell ref="M213:O213"/>
    <mergeCell ref="P213:R213"/>
    <mergeCell ref="S213:U213"/>
    <mergeCell ref="V213:Z213"/>
    <mergeCell ref="AA213:AC213"/>
    <mergeCell ref="A212:L212"/>
    <mergeCell ref="M212:O212"/>
    <mergeCell ref="P212:R212"/>
    <mergeCell ref="S212:U212"/>
    <mergeCell ref="V212:Z212"/>
    <mergeCell ref="AA212:AC212"/>
    <mergeCell ref="A211:L211"/>
    <mergeCell ref="M211:O211"/>
    <mergeCell ref="P211:R211"/>
    <mergeCell ref="S211:U211"/>
    <mergeCell ref="V211:Z211"/>
    <mergeCell ref="AA211:AC211"/>
    <mergeCell ref="A210:L210"/>
    <mergeCell ref="M210:O210"/>
    <mergeCell ref="P210:R210"/>
    <mergeCell ref="S210:U210"/>
    <mergeCell ref="V210:Z210"/>
    <mergeCell ref="AA210:AC210"/>
    <mergeCell ref="AB206:AC206"/>
    <mergeCell ref="A207:AC207"/>
    <mergeCell ref="A208:AC208"/>
    <mergeCell ref="A209:L209"/>
    <mergeCell ref="M209:O209"/>
    <mergeCell ref="P209:R209"/>
    <mergeCell ref="S209:U209"/>
    <mergeCell ref="V209:Z209"/>
    <mergeCell ref="AA209:AC209"/>
    <mergeCell ref="A206:K206"/>
    <mergeCell ref="L206:N206"/>
    <mergeCell ref="O206:Q206"/>
    <mergeCell ref="R206:S206"/>
    <mergeCell ref="T206:V206"/>
    <mergeCell ref="W206:AA206"/>
    <mergeCell ref="AB204:AC204"/>
    <mergeCell ref="A205:K205"/>
    <mergeCell ref="L205:N205"/>
    <mergeCell ref="O205:Q205"/>
    <mergeCell ref="R205:S205"/>
    <mergeCell ref="T205:V205"/>
    <mergeCell ref="W205:AA205"/>
    <mergeCell ref="AB205:AC205"/>
    <mergeCell ref="A204:K204"/>
    <mergeCell ref="L204:N204"/>
    <mergeCell ref="O204:Q204"/>
    <mergeCell ref="R204:S204"/>
    <mergeCell ref="T204:V204"/>
    <mergeCell ref="W204:AA204"/>
    <mergeCell ref="AB202:AC202"/>
    <mergeCell ref="A203:K203"/>
    <mergeCell ref="L203:N203"/>
    <mergeCell ref="O203:Q203"/>
    <mergeCell ref="R203:S203"/>
    <mergeCell ref="T203:V203"/>
    <mergeCell ref="W203:AA203"/>
    <mergeCell ref="AB203:AC203"/>
    <mergeCell ref="A202:K202"/>
    <mergeCell ref="L202:N202"/>
    <mergeCell ref="O202:Q202"/>
    <mergeCell ref="R202:S202"/>
    <mergeCell ref="T202:V202"/>
    <mergeCell ref="W202:AA202"/>
    <mergeCell ref="AB200:AC200"/>
    <mergeCell ref="A201:K201"/>
    <mergeCell ref="L201:N201"/>
    <mergeCell ref="O201:Q201"/>
    <mergeCell ref="R201:S201"/>
    <mergeCell ref="T201:V201"/>
    <mergeCell ref="W201:AA201"/>
    <mergeCell ref="AB201:AC201"/>
    <mergeCell ref="A200:K200"/>
    <mergeCell ref="L200:N200"/>
    <mergeCell ref="O200:Q200"/>
    <mergeCell ref="R200:S200"/>
    <mergeCell ref="T200:V200"/>
    <mergeCell ref="W200:AA200"/>
    <mergeCell ref="AB198:AC198"/>
    <mergeCell ref="A199:K199"/>
    <mergeCell ref="L199:N199"/>
    <mergeCell ref="O199:Q199"/>
    <mergeCell ref="R199:S199"/>
    <mergeCell ref="T199:V199"/>
    <mergeCell ref="W199:AA199"/>
    <mergeCell ref="AB199:AC199"/>
    <mergeCell ref="A198:K198"/>
    <mergeCell ref="L198:N198"/>
    <mergeCell ref="O198:Q198"/>
    <mergeCell ref="R198:S198"/>
    <mergeCell ref="T198:V198"/>
    <mergeCell ref="W198:AA198"/>
    <mergeCell ref="AB196:AC196"/>
    <mergeCell ref="A197:K197"/>
    <mergeCell ref="L197:N197"/>
    <mergeCell ref="O197:Q197"/>
    <mergeCell ref="R197:S197"/>
    <mergeCell ref="T197:V197"/>
    <mergeCell ref="W197:AA197"/>
    <mergeCell ref="AB197:AC197"/>
    <mergeCell ref="A196:K196"/>
    <mergeCell ref="L196:N196"/>
    <mergeCell ref="O196:Q196"/>
    <mergeCell ref="R196:S196"/>
    <mergeCell ref="T196:V196"/>
    <mergeCell ref="W196:AA196"/>
    <mergeCell ref="AB194:AC194"/>
    <mergeCell ref="A195:K195"/>
    <mergeCell ref="L195:N195"/>
    <mergeCell ref="O195:Q195"/>
    <mergeCell ref="R195:S195"/>
    <mergeCell ref="T195:V195"/>
    <mergeCell ref="W195:AA195"/>
    <mergeCell ref="AB195:AC195"/>
    <mergeCell ref="A194:K194"/>
    <mergeCell ref="L194:N194"/>
    <mergeCell ref="O194:Q194"/>
    <mergeCell ref="R194:S194"/>
    <mergeCell ref="T194:V194"/>
    <mergeCell ref="W194:AA194"/>
    <mergeCell ref="AB192:AC192"/>
    <mergeCell ref="A193:K193"/>
    <mergeCell ref="L193:N193"/>
    <mergeCell ref="O193:Q193"/>
    <mergeCell ref="R193:S193"/>
    <mergeCell ref="T193:V193"/>
    <mergeCell ref="W193:AA193"/>
    <mergeCell ref="AB193:AC193"/>
    <mergeCell ref="A192:K192"/>
    <mergeCell ref="L192:N192"/>
    <mergeCell ref="O192:Q192"/>
    <mergeCell ref="R192:S192"/>
    <mergeCell ref="T192:V192"/>
    <mergeCell ref="W192:AA192"/>
    <mergeCell ref="AB190:AC190"/>
    <mergeCell ref="A191:K191"/>
    <mergeCell ref="L191:N191"/>
    <mergeCell ref="O191:Q191"/>
    <mergeCell ref="R191:S191"/>
    <mergeCell ref="T191:V191"/>
    <mergeCell ref="W191:AA191"/>
    <mergeCell ref="AB191:AC191"/>
    <mergeCell ref="A190:K190"/>
    <mergeCell ref="L190:N190"/>
    <mergeCell ref="O190:Q190"/>
    <mergeCell ref="R190:S190"/>
    <mergeCell ref="T190:V190"/>
    <mergeCell ref="W190:AA190"/>
    <mergeCell ref="AB188:AC188"/>
    <mergeCell ref="A189:K189"/>
    <mergeCell ref="L189:N189"/>
    <mergeCell ref="O189:Q189"/>
    <mergeCell ref="R189:S189"/>
    <mergeCell ref="T189:V189"/>
    <mergeCell ref="W189:AA189"/>
    <mergeCell ref="AB189:AC189"/>
    <mergeCell ref="A188:K188"/>
    <mergeCell ref="L188:N188"/>
    <mergeCell ref="O188:Q188"/>
    <mergeCell ref="R188:S188"/>
    <mergeCell ref="T188:V188"/>
    <mergeCell ref="W188:AA188"/>
    <mergeCell ref="AB186:AC186"/>
    <mergeCell ref="A187:K187"/>
    <mergeCell ref="L187:N187"/>
    <mergeCell ref="O187:Q187"/>
    <mergeCell ref="R187:S187"/>
    <mergeCell ref="T187:V187"/>
    <mergeCell ref="W187:AA187"/>
    <mergeCell ref="AB187:AC187"/>
    <mergeCell ref="A186:K186"/>
    <mergeCell ref="L186:N186"/>
    <mergeCell ref="O186:Q186"/>
    <mergeCell ref="R186:S186"/>
    <mergeCell ref="T186:V186"/>
    <mergeCell ref="W186:AA186"/>
    <mergeCell ref="AB184:AC184"/>
    <mergeCell ref="A185:K185"/>
    <mergeCell ref="L185:N185"/>
    <mergeCell ref="O185:Q185"/>
    <mergeCell ref="R185:S185"/>
    <mergeCell ref="T185:V185"/>
    <mergeCell ref="W185:AA185"/>
    <mergeCell ref="AB185:AC185"/>
    <mergeCell ref="A184:K184"/>
    <mergeCell ref="L184:N184"/>
    <mergeCell ref="O184:Q184"/>
    <mergeCell ref="R184:S184"/>
    <mergeCell ref="T184:V184"/>
    <mergeCell ref="W184:AA184"/>
    <mergeCell ref="AB182:AC182"/>
    <mergeCell ref="A183:K183"/>
    <mergeCell ref="L183:N183"/>
    <mergeCell ref="O183:Q183"/>
    <mergeCell ref="R183:S183"/>
    <mergeCell ref="T183:V183"/>
    <mergeCell ref="W183:AA183"/>
    <mergeCell ref="AB183:AC183"/>
    <mergeCell ref="A182:K182"/>
    <mergeCell ref="L182:N182"/>
    <mergeCell ref="O182:Q182"/>
    <mergeCell ref="R182:S182"/>
    <mergeCell ref="T182:V182"/>
    <mergeCell ref="W182:AA182"/>
    <mergeCell ref="AB180:AC180"/>
    <mergeCell ref="A181:K181"/>
    <mergeCell ref="L181:N181"/>
    <mergeCell ref="O181:Q181"/>
    <mergeCell ref="R181:S181"/>
    <mergeCell ref="T181:V181"/>
    <mergeCell ref="W181:AA181"/>
    <mergeCell ref="AB181:AC181"/>
    <mergeCell ref="A180:K180"/>
    <mergeCell ref="L180:N180"/>
    <mergeCell ref="O180:Q180"/>
    <mergeCell ref="R180:S180"/>
    <mergeCell ref="T180:V180"/>
    <mergeCell ref="W180:AA180"/>
    <mergeCell ref="AB178:AC178"/>
    <mergeCell ref="A179:K179"/>
    <mergeCell ref="L179:N179"/>
    <mergeCell ref="O179:Q179"/>
    <mergeCell ref="R179:S179"/>
    <mergeCell ref="T179:V179"/>
    <mergeCell ref="W179:AA179"/>
    <mergeCell ref="AB179:AC179"/>
    <mergeCell ref="A178:K178"/>
    <mergeCell ref="L178:N178"/>
    <mergeCell ref="O178:Q178"/>
    <mergeCell ref="R178:S178"/>
    <mergeCell ref="T178:V178"/>
    <mergeCell ref="W178:AA178"/>
    <mergeCell ref="AB176:AC176"/>
    <mergeCell ref="A177:K177"/>
    <mergeCell ref="L177:N177"/>
    <mergeCell ref="O177:Q177"/>
    <mergeCell ref="R177:S177"/>
    <mergeCell ref="T177:V177"/>
    <mergeCell ref="W177:AA177"/>
    <mergeCell ref="AB177:AC177"/>
    <mergeCell ref="A176:K176"/>
    <mergeCell ref="L176:N176"/>
    <mergeCell ref="O176:Q176"/>
    <mergeCell ref="R176:S176"/>
    <mergeCell ref="T176:V176"/>
    <mergeCell ref="W176:AA176"/>
    <mergeCell ref="AB174:AC174"/>
    <mergeCell ref="A175:K175"/>
    <mergeCell ref="L175:N175"/>
    <mergeCell ref="O175:Q175"/>
    <mergeCell ref="R175:S175"/>
    <mergeCell ref="T175:V175"/>
    <mergeCell ref="W175:AA175"/>
    <mergeCell ref="AB175:AC175"/>
    <mergeCell ref="A174:K174"/>
    <mergeCell ref="L174:N174"/>
    <mergeCell ref="O174:Q174"/>
    <mergeCell ref="R174:S174"/>
    <mergeCell ref="T174:V174"/>
    <mergeCell ref="W174:AA174"/>
    <mergeCell ref="AB172:AC172"/>
    <mergeCell ref="A173:K173"/>
    <mergeCell ref="L173:N173"/>
    <mergeCell ref="O173:Q173"/>
    <mergeCell ref="R173:S173"/>
    <mergeCell ref="T173:V173"/>
    <mergeCell ref="W173:AA173"/>
    <mergeCell ref="AB173:AC173"/>
    <mergeCell ref="A172:K172"/>
    <mergeCell ref="L172:N172"/>
    <mergeCell ref="O172:Q172"/>
    <mergeCell ref="R172:S172"/>
    <mergeCell ref="T172:V172"/>
    <mergeCell ref="W172:AA172"/>
    <mergeCell ref="AB170:AC170"/>
    <mergeCell ref="A171:K171"/>
    <mergeCell ref="L171:N171"/>
    <mergeCell ref="O171:Q171"/>
    <mergeCell ref="R171:S171"/>
    <mergeCell ref="T171:V171"/>
    <mergeCell ref="W171:AA171"/>
    <mergeCell ref="AB171:AC171"/>
    <mergeCell ref="A170:K170"/>
    <mergeCell ref="L170:N170"/>
    <mergeCell ref="O170:Q170"/>
    <mergeCell ref="R170:S170"/>
    <mergeCell ref="T170:V170"/>
    <mergeCell ref="W170:AA170"/>
    <mergeCell ref="AB168:AC168"/>
    <mergeCell ref="A169:K169"/>
    <mergeCell ref="L169:N169"/>
    <mergeCell ref="O169:Q169"/>
    <mergeCell ref="R169:S169"/>
    <mergeCell ref="T169:V169"/>
    <mergeCell ref="W169:AA169"/>
    <mergeCell ref="AB169:AC169"/>
    <mergeCell ref="A168:K168"/>
    <mergeCell ref="L168:N168"/>
    <mergeCell ref="O168:Q168"/>
    <mergeCell ref="R168:S168"/>
    <mergeCell ref="T168:V168"/>
    <mergeCell ref="W168:AA168"/>
    <mergeCell ref="AB166:AC166"/>
    <mergeCell ref="A167:K167"/>
    <mergeCell ref="L167:N167"/>
    <mergeCell ref="O167:Q167"/>
    <mergeCell ref="R167:S167"/>
    <mergeCell ref="T167:V167"/>
    <mergeCell ref="W167:AA167"/>
    <mergeCell ref="AB167:AC167"/>
    <mergeCell ref="A166:K166"/>
    <mergeCell ref="L166:N166"/>
    <mergeCell ref="O166:Q166"/>
    <mergeCell ref="R166:S166"/>
    <mergeCell ref="T166:V166"/>
    <mergeCell ref="W166:AA166"/>
    <mergeCell ref="AB164:AC164"/>
    <mergeCell ref="A165:K165"/>
    <mergeCell ref="L165:N165"/>
    <mergeCell ref="O165:Q165"/>
    <mergeCell ref="R165:S165"/>
    <mergeCell ref="T165:V165"/>
    <mergeCell ref="W165:AA165"/>
    <mergeCell ref="AB165:AC165"/>
    <mergeCell ref="A164:K164"/>
    <mergeCell ref="L164:N164"/>
    <mergeCell ref="O164:Q164"/>
    <mergeCell ref="R164:S164"/>
    <mergeCell ref="T164:V164"/>
    <mergeCell ref="W164:AA164"/>
    <mergeCell ref="AB162:AC162"/>
    <mergeCell ref="A163:K163"/>
    <mergeCell ref="L163:N163"/>
    <mergeCell ref="O163:Q163"/>
    <mergeCell ref="R163:S163"/>
    <mergeCell ref="T163:V163"/>
    <mergeCell ref="W163:AA163"/>
    <mergeCell ref="AB163:AC163"/>
    <mergeCell ref="A162:K162"/>
    <mergeCell ref="L162:N162"/>
    <mergeCell ref="O162:Q162"/>
    <mergeCell ref="R162:S162"/>
    <mergeCell ref="T162:V162"/>
    <mergeCell ref="W162:AA162"/>
    <mergeCell ref="AB160:AC160"/>
    <mergeCell ref="A161:K161"/>
    <mergeCell ref="L161:N161"/>
    <mergeCell ref="O161:Q161"/>
    <mergeCell ref="R161:S161"/>
    <mergeCell ref="T161:V161"/>
    <mergeCell ref="W161:AA161"/>
    <mergeCell ref="AB161:AC161"/>
    <mergeCell ref="A160:K160"/>
    <mergeCell ref="L160:N160"/>
    <mergeCell ref="O160:Q160"/>
    <mergeCell ref="R160:S160"/>
    <mergeCell ref="T160:V160"/>
    <mergeCell ref="W160:AA160"/>
    <mergeCell ref="AB158:AC158"/>
    <mergeCell ref="A159:K159"/>
    <mergeCell ref="L159:N159"/>
    <mergeCell ref="O159:Q159"/>
    <mergeCell ref="R159:S159"/>
    <mergeCell ref="T159:V159"/>
    <mergeCell ref="W159:AA159"/>
    <mergeCell ref="AB159:AC159"/>
    <mergeCell ref="A158:K158"/>
    <mergeCell ref="L158:N158"/>
    <mergeCell ref="O158:Q158"/>
    <mergeCell ref="R158:S158"/>
    <mergeCell ref="T158:V158"/>
    <mergeCell ref="W158:AA158"/>
    <mergeCell ref="AB156:AC156"/>
    <mergeCell ref="A157:K157"/>
    <mergeCell ref="L157:N157"/>
    <mergeCell ref="O157:Q157"/>
    <mergeCell ref="R157:S157"/>
    <mergeCell ref="T157:V157"/>
    <mergeCell ref="W157:AA157"/>
    <mergeCell ref="AB157:AC157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43:AC43"/>
    <mergeCell ref="A44:AC44"/>
    <mergeCell ref="A45:K45"/>
    <mergeCell ref="L45:N45"/>
    <mergeCell ref="O45:Q45"/>
    <mergeCell ref="R45:S45"/>
    <mergeCell ref="T45:V45"/>
    <mergeCell ref="W45:AA45"/>
    <mergeCell ref="AB45:AC45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3" max="255" man="1"/>
    <brk id="20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2022-03-23T05:06:55Z</dcterms:created>
  <dcterms:modified xsi:type="dcterms:W3CDTF">2022-03-23T05:06:55Z</dcterms:modified>
  <cp:category/>
  <cp:version/>
  <cp:contentType/>
  <cp:contentStatus/>
</cp:coreProperties>
</file>