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<sst xmlns="http://schemas.openxmlformats.org/spreadsheetml/2006/main" count="744" uniqueCount="242">
  <si>
    <t>ОТЧЕТ ОБ ИСПОЛНЕНИИ БЮДЖЕТА</t>
  </si>
  <si>
    <t>КОДЫ</t>
  </si>
  <si>
    <t xml:space="preserve">Форма по ОКУД </t>
  </si>
  <si>
    <t>0503117</t>
  </si>
  <si>
    <t>на 1 июня 2018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</si>
  <si>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</si>
  <si>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</si>
  <si>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</si>
  <si>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</si>
  <si>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</si>
  <si>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</si>
  <si>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</si>
  <si>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</si>
  <si>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</si>
  <si>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</si>
  <si>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</si>
  <si>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</si>
  <si>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</si>
  <si>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</si>
  <si>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</si>
  <si>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</si>
  <si>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</si>
  <si>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</si>
  <si>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</si>
  <si>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</si>
  <si>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</si>
  <si>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</si>
  <si>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</si>
  <si>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</si>
  <si>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</si>
  <si>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</si>
  <si>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</si>
  <si>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</si>
  <si>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</si>
  <si>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</si>
  <si>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</si>
  <si>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</si>
  <si>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</si>
  <si>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</si>
  <si>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</si>
  <si>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</si>
  <si>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</si>
  <si>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</si>
  <si>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</si>
  <si>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</si>
  <si>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</si>
  <si>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</si>
  <si>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</si>
  <si>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</si>
  <si>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</si>
  <si>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</si>
  <si>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</si>
  <si>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</si>
  <si>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</si>
  <si>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</si>
  <si>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</si>
  <si>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</si>
  <si>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</si>
  <si>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</si>
  <si>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</si>
  <si>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</si>
  <si>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</si>
  <si>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</si>
  <si>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</si>
  <si>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</si>
  <si>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</si>
  <si>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</si>
  <si>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</si>
  <si>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</si>
  <si>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</si>
  <si>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</si>
  <si>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</si>
  <si>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</si>
  <si>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</si>
  <si>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</t>
  </si>
  <si>
    <t>650 20215001 13 0000 151</t>
  </si>
  <si>
    <t>Дотации бюджетам городских поселений на поддержку мер по обеспечению сбалансированности бюджетов</t>
  </si>
  <si>
    <t>650 20215002 13 0000 151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</si>
  <si>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</si>
  <si>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</si>
  <si>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</si>
  <si>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</si>
  <si>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</si>
  <si>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</si>
  <si>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</si>
  <si>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</si>
  <si>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</si>
  <si>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</si>
  <si>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</si>
  <si>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</si>
  <si>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</si>
  <si>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</si>
  <si>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</si>
  <si>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</si>
  <si>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</si>
  <si>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</si>
  <si>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</si>
  <si>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</si>
  <si>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</si>
  <si>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</si>
  <si>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</si>
  <si>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</si>
  <si>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</si>
  <si>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</si>
  <si>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</si>
  <si>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</si>
  <si>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</si>
  <si>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</si>
  <si>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Иные расходы</t>
  </si>
  <si>
    <t>650 0107 6002020240 244</t>
  </si>
  <si>
    <t>296</t>
  </si>
  <si>
    <t>650 0107 6002030240 244</t>
  </si>
  <si>
    <t>650 0111 6000007050 870</t>
  </si>
  <si>
    <t>650 0113 0200092400 122</t>
  </si>
  <si>
    <t>Прочие работы, услуги</t>
  </si>
  <si>
    <t>650 0113 0200092400 244</t>
  </si>
  <si>
    <t>226</t>
  </si>
  <si>
    <t>650 0113 6000002400 122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</si>
  <si>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</si>
  <si>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</si>
  <si>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</si>
  <si>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</si>
  <si>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</si>
  <si>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</si>
  <si>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</si>
  <si>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</si>
  <si>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</si>
  <si>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</si>
  <si>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</si>
  <si>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</si>
  <si>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</si>
  <si>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Налоги, пошлины и сборы</t>
  </si>
  <si>
    <t>650 0113 6000002400 851</t>
  </si>
  <si>
    <t>291</t>
  </si>
  <si>
    <t>650 0113 6000002400 852</t>
  </si>
  <si>
    <t>650 0113 6000002400 853</t>
  </si>
  <si>
    <t>Другие экономические санкции</t>
  </si>
  <si>
    <t>295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</si>
  <si>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</si>
  <si>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</si>
  <si>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</si>
  <si>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</si>
  <si>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</si>
  <si>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</si>
  <si>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</si>
  <si>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</si>
  <si>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</si>
  <si>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</si>
  <si>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</si>
  <si>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</si>
  <si>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</si>
  <si>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</si>
  <si>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</si>
  <si>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0401 60000S5060 111</t>
  </si>
  <si>
    <t>650 0401 60000S5060 119</t>
  </si>
  <si>
    <t>650 0409 0400192400 244</t>
  </si>
  <si>
    <t>650 0409 6000082390 540</t>
  </si>
  <si>
    <t>650 0409 6000089190 540</t>
  </si>
  <si>
    <t>650 0409 60000S2390 540</t>
  </si>
  <si>
    <t>650 0409 60000S9190 540</t>
  </si>
  <si>
    <t>650 0410 0300092400 242</t>
  </si>
  <si>
    <t>650 0410 6000002400 242</t>
  </si>
  <si>
    <t>650 0501 0500192400 244</t>
  </si>
  <si>
    <t>650 0501 0500292400 244</t>
  </si>
  <si>
    <t>650 0501 0500392400 244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</si>
  <si>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</si>
  <si>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</si>
  <si>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</si>
  <si>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</si>
  <si>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650 0501 0500692400 811</t>
  </si>
  <si>
    <t>242</t>
  </si>
  <si>
    <t>650 0502 6000082590 540</t>
  </si>
  <si>
    <t>650 0502 60000S2590 540</t>
  </si>
  <si>
    <t>650 0503 0810196100 244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</si>
  <si>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</si>
  <si>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</si>
  <si>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</si>
  <si>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</si>
  <si>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</si>
  <si>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0503 60000L5550 540</t>
  </si>
  <si>
    <t>650 0503 60000R5550 540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</si>
  <si>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</si>
  <si>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</si>
  <si>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</si>
  <si>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</si>
  <si>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</si>
  <si>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</si>
  <si>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</si>
  <si>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650 0707 6000000590 853</t>
  </si>
  <si>
    <t>650 0707 6000085150 111</t>
  </si>
  <si>
    <t>650 0707 6000085150 119</t>
  </si>
  <si>
    <t>650 0801 6000000590 111</t>
  </si>
  <si>
    <t>650 0801 6000000590 112</t>
  </si>
  <si>
    <t>650 0801 6000000590 119</t>
  </si>
  <si>
    <t>650 0801 6000000590 242</t>
  </si>
  <si>
    <t>650 0801 6000000590 244</t>
  </si>
  <si>
    <t>650 0801 6000000590 851</t>
  </si>
  <si>
    <t>650 0801 6000000590 853</t>
  </si>
  <si>
    <t>Прочие расходы</t>
  </si>
  <si>
    <t>650 0801 6000070050 244</t>
  </si>
  <si>
    <t>290</t>
  </si>
  <si>
    <t>650 0801 6000082580 111</t>
  </si>
  <si>
    <t>650 0801 6000082580 119</t>
  </si>
  <si>
    <t>650 0801 60000S2580 111</t>
  </si>
  <si>
    <t>650 0801 60000S2580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</si>
  <si>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</si>
  <si>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</si>
  <si>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</si>
  <si>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</si>
  <si>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</si>
  <si>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</si>
  <si>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</si>
  <si>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</si>
  <si>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</si>
  <si>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</si>
  <si>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</si>
  <si>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</si>
  <si>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</si>
  <si>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</si>
  <si>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</si>
  <si>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</si>
  <si>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</si>
  <si>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</si>
  <si>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</si>
  <si>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</si>
  <si>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</si>
  <si>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</si>
  <si>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</si>
  <si>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</si>
  <si>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</si>
  <si>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</si>
  <si>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С. Г. Ермаков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</si>
  <si>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</si>
  <si>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</si>
  <si>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</si>
  <si>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</si>
  <si>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</si>
  <si>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главный специалист</t>
  </si>
  <si>
    <t>Л. Б. Ибатуллина</t>
  </si>
  <si>
    <t>(должность)</t>
  </si>
  <si>
    <t xml:space="preserve">   28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</si>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</sst>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4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43252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66989275.02</f>
        <v>66989275.02</v>
      </c>
      <c r="T12" s="21"/>
      <c r="U12" s="21"/>
      <c r="V12" s="21">
        <f>16349196.53</f>
        <v>16349196.53</v>
      </c>
      <c r="W12" s="21"/>
      <c r="X12" s="21"/>
      <c r="Y12" s="21"/>
      <c r="Z12" s="21"/>
      <c r="AA12" s="22">
        <f>50640078.49</f>
        <v>50640078.49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150000</f>
        <v>150000</v>
      </c>
      <c r="T13" s="25"/>
      <c r="U13" s="25"/>
      <c r="V13" s="25">
        <f>30065.73</f>
        <v>30065.73</v>
      </c>
      <c r="W13" s="25"/>
      <c r="X13" s="25"/>
      <c r="Y13" s="25"/>
      <c r="Z13" s="25"/>
      <c r="AA13" s="26">
        <f>119934.27</f>
        <v>119934.27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60000</f>
        <v>60000</v>
      </c>
      <c r="T14" s="25"/>
      <c r="U14" s="25"/>
      <c r="V14" s="25">
        <f>17921</f>
        <v>17921</v>
      </c>
      <c r="W14" s="25"/>
      <c r="X14" s="25"/>
      <c r="Y14" s="25"/>
      <c r="Z14" s="25"/>
      <c r="AA14" s="26">
        <f>42079</f>
        <v>42079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1370309.7</f>
        <v>1370309.7</v>
      </c>
      <c r="T15" s="25"/>
      <c r="U15" s="25"/>
      <c r="V15" s="25">
        <f>645555.53</f>
        <v>645555.53</v>
      </c>
      <c r="W15" s="25"/>
      <c r="X15" s="25"/>
      <c r="Y15" s="25"/>
      <c r="Z15" s="25"/>
      <c r="AA15" s="26">
        <f>724754.17</f>
        <v>724754.17</v>
      </c>
      <c r="AB15" s="26"/>
      <c r="AC15" s="26"/>
    </row>
    <row r="16" spans="1:29" s="1" customFormat="1" ht="54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10516.66</f>
        <v>10516.66</v>
      </c>
      <c r="T16" s="25"/>
      <c r="U16" s="25"/>
      <c r="V16" s="25">
        <f>4809.15</f>
        <v>4809.15</v>
      </c>
      <c r="W16" s="25"/>
      <c r="X16" s="25"/>
      <c r="Y16" s="25"/>
      <c r="Z16" s="25"/>
      <c r="AA16" s="26">
        <f>5707.51</f>
        <v>5707.51</v>
      </c>
      <c r="AB16" s="26"/>
      <c r="AC16" s="26"/>
    </row>
    <row r="17" spans="1:29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2571081.17</f>
        <v>2571081.17</v>
      </c>
      <c r="T17" s="25"/>
      <c r="U17" s="25"/>
      <c r="V17" s="25">
        <f>978516.5</f>
        <v>978516.5</v>
      </c>
      <c r="W17" s="25"/>
      <c r="X17" s="25"/>
      <c r="Y17" s="25"/>
      <c r="Z17" s="25"/>
      <c r="AA17" s="26">
        <f>1592564.67</f>
        <v>1592564.67</v>
      </c>
      <c r="AB17" s="26"/>
      <c r="AC17" s="26"/>
    </row>
    <row r="18" spans="1:29" s="1" customFormat="1" ht="45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-211907.53</f>
        <v>-211907.53</v>
      </c>
      <c r="T18" s="25"/>
      <c r="U18" s="25"/>
      <c r="V18" s="25">
        <f>-133663.52</f>
        <v>-133663.52</v>
      </c>
      <c r="W18" s="25"/>
      <c r="X18" s="25"/>
      <c r="Y18" s="25"/>
      <c r="Z18" s="25"/>
      <c r="AA18" s="26">
        <f>-78244.01</f>
        <v>-78244.01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3117000</f>
        <v>3117000</v>
      </c>
      <c r="T19" s="25"/>
      <c r="U19" s="25"/>
      <c r="V19" s="25">
        <f>2029031.27</f>
        <v>2029031.27</v>
      </c>
      <c r="W19" s="25"/>
      <c r="X19" s="25"/>
      <c r="Y19" s="25"/>
      <c r="Z19" s="25"/>
      <c r="AA19" s="26">
        <f>1087968.73</f>
        <v>1087968.73</v>
      </c>
      <c r="AB19" s="26"/>
      <c r="AC19" s="26"/>
    </row>
    <row r="20" spans="1:29" s="1" customFormat="1" ht="66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786.5</f>
        <v>786.5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24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7" t="s">
        <v>53</v>
      </c>
      <c r="T21" s="27"/>
      <c r="U21" s="27"/>
      <c r="V21" s="25">
        <f>3126.34</f>
        <v>3126.34</v>
      </c>
      <c r="W21" s="25"/>
      <c r="X21" s="25"/>
      <c r="Y21" s="25"/>
      <c r="Z21" s="25"/>
      <c r="AA21" s="28" t="s">
        <v>53</v>
      </c>
      <c r="AB21" s="28"/>
      <c r="AC21" s="28"/>
    </row>
    <row r="22" spans="1:29" s="1" customFormat="1" ht="13.5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290000</f>
        <v>290000</v>
      </c>
      <c r="T22" s="25"/>
      <c r="U22" s="25"/>
      <c r="V22" s="25">
        <f>171704</f>
        <v>171704</v>
      </c>
      <c r="W22" s="25"/>
      <c r="X22" s="25"/>
      <c r="Y22" s="25"/>
      <c r="Z22" s="25"/>
      <c r="AA22" s="26">
        <f>118296</f>
        <v>118296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52500</f>
        <v>52500</v>
      </c>
      <c r="T23" s="25"/>
      <c r="U23" s="25"/>
      <c r="V23" s="25">
        <f>29112.5</f>
        <v>29112.5</v>
      </c>
      <c r="W23" s="25"/>
      <c r="X23" s="25"/>
      <c r="Y23" s="25"/>
      <c r="Z23" s="25"/>
      <c r="AA23" s="26">
        <f>23387.5</f>
        <v>23387.5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141000</f>
        <v>141000</v>
      </c>
      <c r="T24" s="25"/>
      <c r="U24" s="25"/>
      <c r="V24" s="25">
        <f>42984.13</f>
        <v>42984.13</v>
      </c>
      <c r="W24" s="25"/>
      <c r="X24" s="25"/>
      <c r="Y24" s="25"/>
      <c r="Z24" s="25"/>
      <c r="AA24" s="26">
        <f>98015.87</f>
        <v>98015.87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500000</f>
        <v>500000</v>
      </c>
      <c r="T25" s="25"/>
      <c r="U25" s="25"/>
      <c r="V25" s="25">
        <f>122979.84</f>
        <v>122979.84</v>
      </c>
      <c r="W25" s="25"/>
      <c r="X25" s="25"/>
      <c r="Y25" s="25"/>
      <c r="Z25" s="25"/>
      <c r="AA25" s="26">
        <f>377020.16</f>
        <v>377020.16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140000</f>
        <v>140000</v>
      </c>
      <c r="T26" s="25"/>
      <c r="U26" s="25"/>
      <c r="V26" s="25">
        <f>97688.66</f>
        <v>97688.66</v>
      </c>
      <c r="W26" s="25"/>
      <c r="X26" s="25"/>
      <c r="Y26" s="25"/>
      <c r="Z26" s="25"/>
      <c r="AA26" s="26">
        <f>42311.34</f>
        <v>42311.34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137000</f>
        <v>137000</v>
      </c>
      <c r="T27" s="25"/>
      <c r="U27" s="25"/>
      <c r="V27" s="25">
        <f>25250</f>
        <v>25250</v>
      </c>
      <c r="W27" s="25"/>
      <c r="X27" s="25"/>
      <c r="Y27" s="25"/>
      <c r="Z27" s="25"/>
      <c r="AA27" s="26">
        <f>111750</f>
        <v>111750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90000</f>
        <v>90000</v>
      </c>
      <c r="T28" s="25"/>
      <c r="U28" s="25"/>
      <c r="V28" s="25">
        <f>10287.38</f>
        <v>10287.38</v>
      </c>
      <c r="W28" s="25"/>
      <c r="X28" s="25"/>
      <c r="Y28" s="25"/>
      <c r="Z28" s="25"/>
      <c r="AA28" s="26">
        <f>79712.62</f>
        <v>79712.62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659200</f>
        <v>659200</v>
      </c>
      <c r="T29" s="25"/>
      <c r="U29" s="25"/>
      <c r="V29" s="25">
        <f>312314.09</f>
        <v>312314.09</v>
      </c>
      <c r="W29" s="25"/>
      <c r="X29" s="25"/>
      <c r="Y29" s="25"/>
      <c r="Z29" s="25"/>
      <c r="AA29" s="26">
        <f>346885.91</f>
        <v>346885.91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272214</f>
        <v>272214</v>
      </c>
      <c r="T30" s="25"/>
      <c r="U30" s="25"/>
      <c r="V30" s="25">
        <f>173400</f>
        <v>173400</v>
      </c>
      <c r="W30" s="25"/>
      <c r="X30" s="25"/>
      <c r="Y30" s="25"/>
      <c r="Z30" s="25"/>
      <c r="AA30" s="26">
        <f>98814</f>
        <v>98814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24817600</f>
        <v>24817600</v>
      </c>
      <c r="T31" s="25"/>
      <c r="U31" s="25"/>
      <c r="V31" s="25">
        <f>9884558.74</f>
        <v>9884558.74</v>
      </c>
      <c r="W31" s="25"/>
      <c r="X31" s="25"/>
      <c r="Y31" s="25"/>
      <c r="Z31" s="25"/>
      <c r="AA31" s="26">
        <f>14933041.26</f>
        <v>14933041.26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350000</f>
        <v>350000</v>
      </c>
      <c r="T32" s="25"/>
      <c r="U32" s="25"/>
      <c r="V32" s="25">
        <f>38800</f>
        <v>38800</v>
      </c>
      <c r="W32" s="25"/>
      <c r="X32" s="25"/>
      <c r="Y32" s="25"/>
      <c r="Z32" s="25"/>
      <c r="AA32" s="26">
        <f>311200</f>
        <v>311200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10000</f>
        <v>10000</v>
      </c>
      <c r="T33" s="25"/>
      <c r="U33" s="25"/>
      <c r="V33" s="25">
        <f>10000</f>
        <v>10000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393800</f>
        <v>393800</v>
      </c>
      <c r="T34" s="25"/>
      <c r="U34" s="25"/>
      <c r="V34" s="25">
        <f>152000</f>
        <v>152000</v>
      </c>
      <c r="W34" s="25"/>
      <c r="X34" s="25"/>
      <c r="Y34" s="25"/>
      <c r="Z34" s="25"/>
      <c r="AA34" s="26">
        <f>241800</f>
        <v>241800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71330</f>
        <v>71330</v>
      </c>
      <c r="T35" s="25"/>
      <c r="U35" s="25"/>
      <c r="V35" s="25">
        <f>28975</f>
        <v>28975</v>
      </c>
      <c r="W35" s="25"/>
      <c r="X35" s="25"/>
      <c r="Y35" s="25"/>
      <c r="Z35" s="25"/>
      <c r="AA35" s="26">
        <f>42355</f>
        <v>42355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31997631.02</f>
        <v>31997631.02</v>
      </c>
      <c r="T36" s="25"/>
      <c r="U36" s="25"/>
      <c r="V36" s="25">
        <f>1670749.8</f>
        <v>1670749.8</v>
      </c>
      <c r="W36" s="25"/>
      <c r="X36" s="25"/>
      <c r="Y36" s="25"/>
      <c r="Z36" s="25"/>
      <c r="AA36" s="26">
        <f>30326881.22</f>
        <v>30326881.22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7" t="s">
        <v>53</v>
      </c>
      <c r="T37" s="27"/>
      <c r="U37" s="27"/>
      <c r="V37" s="25">
        <f>2243.89</f>
        <v>2243.89</v>
      </c>
      <c r="W37" s="25"/>
      <c r="X37" s="25"/>
      <c r="Y37" s="25"/>
      <c r="Z37" s="25"/>
      <c r="AA37" s="28" t="s">
        <v>53</v>
      </c>
      <c r="AB37" s="28"/>
      <c r="AC37" s="28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69237065.06</f>
        <v>69237065.06</v>
      </c>
      <c r="U42" s="21"/>
      <c r="V42" s="21"/>
      <c r="W42" s="21">
        <f>15834493.27</f>
        <v>15834493.27</v>
      </c>
      <c r="X42" s="21"/>
      <c r="Y42" s="21"/>
      <c r="Z42" s="21"/>
      <c r="AA42" s="21"/>
      <c r="AB42" s="22">
        <f>53402571.79</f>
        <v>53402571.79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1363285</f>
        <v>1363285</v>
      </c>
      <c r="U43" s="34"/>
      <c r="V43" s="34"/>
      <c r="W43" s="34">
        <f>735401.63</f>
        <v>735401.63</v>
      </c>
      <c r="X43" s="34"/>
      <c r="Y43" s="34"/>
      <c r="Z43" s="34"/>
      <c r="AA43" s="34"/>
      <c r="AB43" s="35">
        <f>627883.37</f>
        <v>627883.37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338132</f>
        <v>338132</v>
      </c>
      <c r="U44" s="34"/>
      <c r="V44" s="34"/>
      <c r="W44" s="34">
        <f>203299.93</f>
        <v>203299.93</v>
      </c>
      <c r="X44" s="34"/>
      <c r="Y44" s="34"/>
      <c r="Z44" s="34"/>
      <c r="AA44" s="34"/>
      <c r="AB44" s="35">
        <f>134832.07</f>
        <v>134832.07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8837198</f>
        <v>8837198</v>
      </c>
      <c r="U45" s="34"/>
      <c r="V45" s="34"/>
      <c r="W45" s="34">
        <f>4448943.59</f>
        <v>4448943.59</v>
      </c>
      <c r="X45" s="34"/>
      <c r="Y45" s="34"/>
      <c r="Z45" s="34"/>
      <c r="AA45" s="34"/>
      <c r="AB45" s="35">
        <f>4388254.41</f>
        <v>4388254.41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70000</f>
        <v>70000</v>
      </c>
      <c r="U46" s="34"/>
      <c r="V46" s="34"/>
      <c r="W46" s="34">
        <f>18525.4</f>
        <v>18525.4</v>
      </c>
      <c r="X46" s="34"/>
      <c r="Y46" s="34"/>
      <c r="Z46" s="34"/>
      <c r="AA46" s="34"/>
      <c r="AB46" s="35">
        <f>51474.6</f>
        <v>51474.6</v>
      </c>
      <c r="AC46" s="35"/>
    </row>
    <row r="47" spans="1:29" s="1" customFormat="1" ht="13.5" customHeight="1">
      <c r="A47" s="31" t="s">
        <v>97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104</v>
      </c>
      <c r="P47" s="32"/>
      <c r="Q47" s="32"/>
      <c r="R47" s="33" t="s">
        <v>99</v>
      </c>
      <c r="S47" s="33"/>
      <c r="T47" s="34">
        <f>2658593</f>
        <v>2658593</v>
      </c>
      <c r="U47" s="34"/>
      <c r="V47" s="34"/>
      <c r="W47" s="34">
        <f>1480632.29</f>
        <v>1480632.29</v>
      </c>
      <c r="X47" s="34"/>
      <c r="Y47" s="34"/>
      <c r="Z47" s="34"/>
      <c r="AA47" s="34"/>
      <c r="AB47" s="35">
        <f>1177960.71</f>
        <v>1177960.71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106</v>
      </c>
      <c r="P48" s="32"/>
      <c r="Q48" s="32"/>
      <c r="R48" s="33" t="s">
        <v>107</v>
      </c>
      <c r="S48" s="33"/>
      <c r="T48" s="34">
        <f>202653</f>
        <v>202653</v>
      </c>
      <c r="U48" s="34"/>
      <c r="V48" s="34"/>
      <c r="W48" s="36" t="s">
        <v>53</v>
      </c>
      <c r="X48" s="36"/>
      <c r="Y48" s="36"/>
      <c r="Z48" s="36"/>
      <c r="AA48" s="36"/>
      <c r="AB48" s="35">
        <f>202653</f>
        <v>202653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109</v>
      </c>
      <c r="P49" s="32"/>
      <c r="Q49" s="32"/>
      <c r="R49" s="33" t="s">
        <v>110</v>
      </c>
      <c r="S49" s="33"/>
      <c r="T49" s="34">
        <f>50000</f>
        <v>50000</v>
      </c>
      <c r="U49" s="34"/>
      <c r="V49" s="34"/>
      <c r="W49" s="36" t="s">
        <v>53</v>
      </c>
      <c r="X49" s="36"/>
      <c r="Y49" s="36"/>
      <c r="Z49" s="36"/>
      <c r="AA49" s="36"/>
      <c r="AB49" s="35">
        <f>50000</f>
        <v>50000</v>
      </c>
      <c r="AC49" s="35"/>
    </row>
    <row r="50" spans="1:29" s="1" customFormat="1" ht="13.5" customHeight="1">
      <c r="A50" s="31" t="s">
        <v>108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111</v>
      </c>
      <c r="P50" s="32"/>
      <c r="Q50" s="32"/>
      <c r="R50" s="33" t="s">
        <v>110</v>
      </c>
      <c r="S50" s="33"/>
      <c r="T50" s="34">
        <f>65000</f>
        <v>65000</v>
      </c>
      <c r="U50" s="34"/>
      <c r="V50" s="34"/>
      <c r="W50" s="36" t="s">
        <v>53</v>
      </c>
      <c r="X50" s="36"/>
      <c r="Y50" s="36"/>
      <c r="Z50" s="36"/>
      <c r="AA50" s="36"/>
      <c r="AB50" s="35">
        <f>65000</f>
        <v>65000</v>
      </c>
      <c r="AC50" s="35"/>
    </row>
    <row r="51" spans="1:29" s="1" customFormat="1" ht="13.5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112</v>
      </c>
      <c r="P51" s="32"/>
      <c r="Q51" s="32"/>
      <c r="R51" s="33" t="s">
        <v>110</v>
      </c>
      <c r="S51" s="33"/>
      <c r="T51" s="34">
        <f>100000</f>
        <v>100000</v>
      </c>
      <c r="U51" s="34"/>
      <c r="V51" s="34"/>
      <c r="W51" s="36" t="s">
        <v>53</v>
      </c>
      <c r="X51" s="36"/>
      <c r="Y51" s="36"/>
      <c r="Z51" s="36"/>
      <c r="AA51" s="36"/>
      <c r="AB51" s="35">
        <f>100000</f>
        <v>100000</v>
      </c>
      <c r="AC51" s="35"/>
    </row>
    <row r="52" spans="1:29" s="1" customFormat="1" ht="13.5" customHeight="1">
      <c r="A52" s="31" t="s">
        <v>101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113</v>
      </c>
      <c r="P52" s="32"/>
      <c r="Q52" s="32"/>
      <c r="R52" s="33" t="s">
        <v>103</v>
      </c>
      <c r="S52" s="33"/>
      <c r="T52" s="34">
        <f>50000</f>
        <v>50000</v>
      </c>
      <c r="U52" s="34"/>
      <c r="V52" s="34"/>
      <c r="W52" s="36" t="s">
        <v>53</v>
      </c>
      <c r="X52" s="36"/>
      <c r="Y52" s="36"/>
      <c r="Z52" s="36"/>
      <c r="AA52" s="36"/>
      <c r="AB52" s="35">
        <f>50000</f>
        <v>50000</v>
      </c>
      <c r="AC52" s="35"/>
    </row>
    <row r="53" spans="1:29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115</v>
      </c>
      <c r="P53" s="32"/>
      <c r="Q53" s="32"/>
      <c r="R53" s="33" t="s">
        <v>116</v>
      </c>
      <c r="S53" s="33"/>
      <c r="T53" s="34">
        <f>50000</f>
        <v>50000</v>
      </c>
      <c r="U53" s="34"/>
      <c r="V53" s="34"/>
      <c r="W53" s="36" t="s">
        <v>53</v>
      </c>
      <c r="X53" s="36"/>
      <c r="Y53" s="36"/>
      <c r="Z53" s="36"/>
      <c r="AA53" s="36"/>
      <c r="AB53" s="35">
        <f>50000</f>
        <v>50000</v>
      </c>
      <c r="AC53" s="35"/>
    </row>
    <row r="54" spans="1:29" s="1" customFormat="1" ht="13.5" customHeight="1">
      <c r="A54" s="31" t="s">
        <v>101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117</v>
      </c>
      <c r="P54" s="32"/>
      <c r="Q54" s="32"/>
      <c r="R54" s="33" t="s">
        <v>103</v>
      </c>
      <c r="S54" s="33"/>
      <c r="T54" s="34">
        <f>250000</f>
        <v>250000</v>
      </c>
      <c r="U54" s="34"/>
      <c r="V54" s="34"/>
      <c r="W54" s="34">
        <f>9370</f>
        <v>9370</v>
      </c>
      <c r="X54" s="34"/>
      <c r="Y54" s="34"/>
      <c r="Z54" s="34"/>
      <c r="AA54" s="34"/>
      <c r="AB54" s="35">
        <f>240630</f>
        <v>240630</v>
      </c>
      <c r="AC54" s="35"/>
    </row>
    <row r="55" spans="1:29" s="1" customFormat="1" ht="13.5" customHeight="1">
      <c r="A55" s="31" t="s">
        <v>118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119</v>
      </c>
      <c r="P55" s="32"/>
      <c r="Q55" s="32"/>
      <c r="R55" s="33" t="s">
        <v>120</v>
      </c>
      <c r="S55" s="33"/>
      <c r="T55" s="34">
        <f>17500</f>
        <v>17500</v>
      </c>
      <c r="U55" s="34"/>
      <c r="V55" s="34"/>
      <c r="W55" s="34">
        <f>9709.68</f>
        <v>9709.68</v>
      </c>
      <c r="X55" s="34"/>
      <c r="Y55" s="34"/>
      <c r="Z55" s="34"/>
      <c r="AA55" s="34"/>
      <c r="AB55" s="35">
        <f>7790.32</f>
        <v>7790.32</v>
      </c>
      <c r="AC55" s="35"/>
    </row>
    <row r="56" spans="1:29" s="1" customFormat="1" ht="13.5" customHeight="1">
      <c r="A56" s="31" t="s">
        <v>121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119</v>
      </c>
      <c r="P56" s="32"/>
      <c r="Q56" s="32"/>
      <c r="R56" s="33" t="s">
        <v>122</v>
      </c>
      <c r="S56" s="33"/>
      <c r="T56" s="34">
        <f>80000</f>
        <v>80000</v>
      </c>
      <c r="U56" s="34"/>
      <c r="V56" s="34"/>
      <c r="W56" s="34">
        <f>26623.6</f>
        <v>26623.6</v>
      </c>
      <c r="X56" s="34"/>
      <c r="Y56" s="34"/>
      <c r="Z56" s="34"/>
      <c r="AA56" s="34"/>
      <c r="AB56" s="35">
        <f>53376.4</f>
        <v>53376.4</v>
      </c>
      <c r="AC56" s="35"/>
    </row>
    <row r="57" spans="1:29" s="1" customFormat="1" ht="13.5" customHeight="1">
      <c r="A57" s="31" t="s">
        <v>123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119</v>
      </c>
      <c r="P57" s="32"/>
      <c r="Q57" s="32"/>
      <c r="R57" s="33" t="s">
        <v>124</v>
      </c>
      <c r="S57" s="33"/>
      <c r="T57" s="34">
        <f>350000</f>
        <v>350000</v>
      </c>
      <c r="U57" s="34"/>
      <c r="V57" s="34"/>
      <c r="W57" s="34">
        <f>19888.81</f>
        <v>19888.81</v>
      </c>
      <c r="X57" s="34"/>
      <c r="Y57" s="34"/>
      <c r="Z57" s="34"/>
      <c r="AA57" s="34"/>
      <c r="AB57" s="35">
        <f>330111.19</f>
        <v>330111.19</v>
      </c>
      <c r="AC57" s="35"/>
    </row>
    <row r="58" spans="1:29" s="1" customFormat="1" ht="13.5" customHeight="1">
      <c r="A58" s="31" t="s">
        <v>125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119</v>
      </c>
      <c r="P58" s="32"/>
      <c r="Q58" s="32"/>
      <c r="R58" s="33" t="s">
        <v>126</v>
      </c>
      <c r="S58" s="33"/>
      <c r="T58" s="34">
        <f>85000</f>
        <v>85000</v>
      </c>
      <c r="U58" s="34"/>
      <c r="V58" s="34"/>
      <c r="W58" s="34">
        <f>16698</f>
        <v>16698</v>
      </c>
      <c r="X58" s="34"/>
      <c r="Y58" s="34"/>
      <c r="Z58" s="34"/>
      <c r="AA58" s="34"/>
      <c r="AB58" s="35">
        <f>68302</f>
        <v>68302</v>
      </c>
      <c r="AC58" s="35"/>
    </row>
    <row r="59" spans="1:29" s="1" customFormat="1" ht="13.5" customHeight="1">
      <c r="A59" s="31" t="s">
        <v>114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119</v>
      </c>
      <c r="P59" s="32"/>
      <c r="Q59" s="32"/>
      <c r="R59" s="33" t="s">
        <v>116</v>
      </c>
      <c r="S59" s="33"/>
      <c r="T59" s="34">
        <f>105000</f>
        <v>105000</v>
      </c>
      <c r="U59" s="34"/>
      <c r="V59" s="34"/>
      <c r="W59" s="34">
        <f>101974.46</f>
        <v>101974.46</v>
      </c>
      <c r="X59" s="34"/>
      <c r="Y59" s="34"/>
      <c r="Z59" s="34"/>
      <c r="AA59" s="34"/>
      <c r="AB59" s="35">
        <f>3025.54</f>
        <v>3025.54</v>
      </c>
      <c r="AC59" s="35"/>
    </row>
    <row r="60" spans="1:29" s="1" customFormat="1" ht="13.5" customHeight="1">
      <c r="A60" s="31" t="s">
        <v>108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119</v>
      </c>
      <c r="P60" s="32"/>
      <c r="Q60" s="32"/>
      <c r="R60" s="33" t="s">
        <v>110</v>
      </c>
      <c r="S60" s="33"/>
      <c r="T60" s="34">
        <f>60000</f>
        <v>60000</v>
      </c>
      <c r="U60" s="34"/>
      <c r="V60" s="34"/>
      <c r="W60" s="34">
        <f>19607.59</f>
        <v>19607.59</v>
      </c>
      <c r="X60" s="34"/>
      <c r="Y60" s="34"/>
      <c r="Z60" s="34"/>
      <c r="AA60" s="34"/>
      <c r="AB60" s="35">
        <f>40392.41</f>
        <v>40392.41</v>
      </c>
      <c r="AC60" s="35"/>
    </row>
    <row r="61" spans="1:29" s="1" customFormat="1" ht="13.5" customHeight="1">
      <c r="A61" s="31" t="s">
        <v>127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119</v>
      </c>
      <c r="P61" s="32"/>
      <c r="Q61" s="32"/>
      <c r="R61" s="33" t="s">
        <v>128</v>
      </c>
      <c r="S61" s="33"/>
      <c r="T61" s="34">
        <f>16260</f>
        <v>16260</v>
      </c>
      <c r="U61" s="34"/>
      <c r="V61" s="34"/>
      <c r="W61" s="34">
        <f>14700</f>
        <v>14700</v>
      </c>
      <c r="X61" s="34"/>
      <c r="Y61" s="34"/>
      <c r="Z61" s="34"/>
      <c r="AA61" s="34"/>
      <c r="AB61" s="35">
        <f>1560</f>
        <v>1560</v>
      </c>
      <c r="AC61" s="35"/>
    </row>
    <row r="62" spans="1:29" s="1" customFormat="1" ht="13.5" customHeight="1">
      <c r="A62" s="31" t="s">
        <v>129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119</v>
      </c>
      <c r="P62" s="32"/>
      <c r="Q62" s="32"/>
      <c r="R62" s="33" t="s">
        <v>130</v>
      </c>
      <c r="S62" s="33"/>
      <c r="T62" s="34">
        <f>644340</f>
        <v>644340</v>
      </c>
      <c r="U62" s="34"/>
      <c r="V62" s="34"/>
      <c r="W62" s="34">
        <f>233853.06</f>
        <v>233853.06</v>
      </c>
      <c r="X62" s="34"/>
      <c r="Y62" s="34"/>
      <c r="Z62" s="34"/>
      <c r="AA62" s="34"/>
      <c r="AB62" s="35">
        <f>410486.94</f>
        <v>410486.94</v>
      </c>
      <c r="AC62" s="35"/>
    </row>
    <row r="63" spans="1:29" s="1" customFormat="1" ht="13.5" customHeight="1">
      <c r="A63" s="31" t="s">
        <v>131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132</v>
      </c>
      <c r="P63" s="32"/>
      <c r="Q63" s="32"/>
      <c r="R63" s="33" t="s">
        <v>133</v>
      </c>
      <c r="S63" s="33"/>
      <c r="T63" s="34">
        <f>5000</f>
        <v>5000</v>
      </c>
      <c r="U63" s="34"/>
      <c r="V63" s="34"/>
      <c r="W63" s="34">
        <f>3079</f>
        <v>3079</v>
      </c>
      <c r="X63" s="34"/>
      <c r="Y63" s="34"/>
      <c r="Z63" s="34"/>
      <c r="AA63" s="34"/>
      <c r="AB63" s="35">
        <f>1921</f>
        <v>1921</v>
      </c>
      <c r="AC63" s="35"/>
    </row>
    <row r="64" spans="1:29" s="1" customFormat="1" ht="13.5" customHeight="1">
      <c r="A64" s="31" t="s">
        <v>131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134</v>
      </c>
      <c r="P64" s="32"/>
      <c r="Q64" s="32"/>
      <c r="R64" s="33" t="s">
        <v>133</v>
      </c>
      <c r="S64" s="33"/>
      <c r="T64" s="34">
        <f>896</f>
        <v>896</v>
      </c>
      <c r="U64" s="34"/>
      <c r="V64" s="34"/>
      <c r="W64" s="34">
        <f>896</f>
        <v>896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131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135</v>
      </c>
      <c r="P65" s="32"/>
      <c r="Q65" s="32"/>
      <c r="R65" s="33" t="s">
        <v>133</v>
      </c>
      <c r="S65" s="33"/>
      <c r="T65" s="34">
        <f>7000</f>
        <v>7000</v>
      </c>
      <c r="U65" s="34"/>
      <c r="V65" s="34"/>
      <c r="W65" s="34">
        <f>6051.54</f>
        <v>6051.54</v>
      </c>
      <c r="X65" s="34"/>
      <c r="Y65" s="34"/>
      <c r="Z65" s="34"/>
      <c r="AA65" s="34"/>
      <c r="AB65" s="35">
        <f>948.46</f>
        <v>948.46</v>
      </c>
      <c r="AC65" s="35"/>
    </row>
    <row r="66" spans="1:29" s="1" customFormat="1" ht="13.5" customHeight="1">
      <c r="A66" s="31" t="s">
        <v>136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135</v>
      </c>
      <c r="P66" s="32"/>
      <c r="Q66" s="32"/>
      <c r="R66" s="33" t="s">
        <v>137</v>
      </c>
      <c r="S66" s="33"/>
      <c r="T66" s="34">
        <f>50000</f>
        <v>50000</v>
      </c>
      <c r="U66" s="34"/>
      <c r="V66" s="34"/>
      <c r="W66" s="34">
        <f>50000</f>
        <v>50000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108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135</v>
      </c>
      <c r="P67" s="32"/>
      <c r="Q67" s="32"/>
      <c r="R67" s="33" t="s">
        <v>110</v>
      </c>
      <c r="S67" s="33"/>
      <c r="T67" s="34">
        <f>25000</f>
        <v>25000</v>
      </c>
      <c r="U67" s="34"/>
      <c r="V67" s="34"/>
      <c r="W67" s="34">
        <f>25000</f>
        <v>25000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94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138</v>
      </c>
      <c r="P68" s="32"/>
      <c r="Q68" s="32"/>
      <c r="R68" s="33" t="s">
        <v>96</v>
      </c>
      <c r="S68" s="33"/>
      <c r="T68" s="34">
        <f>277000</f>
        <v>277000</v>
      </c>
      <c r="U68" s="34"/>
      <c r="V68" s="34"/>
      <c r="W68" s="34">
        <f>111980.12</f>
        <v>111980.12</v>
      </c>
      <c r="X68" s="34"/>
      <c r="Y68" s="34"/>
      <c r="Z68" s="34"/>
      <c r="AA68" s="34"/>
      <c r="AB68" s="35">
        <f>165019.88</f>
        <v>165019.88</v>
      </c>
      <c r="AC68" s="35"/>
    </row>
    <row r="69" spans="1:29" s="1" customFormat="1" ht="13.5" customHeight="1">
      <c r="A69" s="31" t="s">
        <v>101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139</v>
      </c>
      <c r="P69" s="32"/>
      <c r="Q69" s="32"/>
      <c r="R69" s="33" t="s">
        <v>103</v>
      </c>
      <c r="S69" s="33"/>
      <c r="T69" s="34">
        <f>4146</f>
        <v>4146</v>
      </c>
      <c r="U69" s="34"/>
      <c r="V69" s="34"/>
      <c r="W69" s="34">
        <f>3162.4</f>
        <v>3162.4</v>
      </c>
      <c r="X69" s="34"/>
      <c r="Y69" s="34"/>
      <c r="Z69" s="34"/>
      <c r="AA69" s="34"/>
      <c r="AB69" s="35">
        <f>983.6</f>
        <v>983.6</v>
      </c>
      <c r="AC69" s="35"/>
    </row>
    <row r="70" spans="1:29" s="1" customFormat="1" ht="13.5" customHeight="1">
      <c r="A70" s="31" t="s">
        <v>97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140</v>
      </c>
      <c r="P70" s="32"/>
      <c r="Q70" s="32"/>
      <c r="R70" s="33" t="s">
        <v>99</v>
      </c>
      <c r="S70" s="33"/>
      <c r="T70" s="34">
        <f>83654</f>
        <v>83654</v>
      </c>
      <c r="U70" s="34"/>
      <c r="V70" s="34"/>
      <c r="W70" s="34">
        <f>36195.48</f>
        <v>36195.48</v>
      </c>
      <c r="X70" s="34"/>
      <c r="Y70" s="34"/>
      <c r="Z70" s="34"/>
      <c r="AA70" s="34"/>
      <c r="AB70" s="35">
        <f>47458.52</f>
        <v>47458.52</v>
      </c>
      <c r="AC70" s="35"/>
    </row>
    <row r="71" spans="1:29" s="1" customFormat="1" ht="13.5" customHeight="1">
      <c r="A71" s="31" t="s">
        <v>118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141</v>
      </c>
      <c r="P71" s="32"/>
      <c r="Q71" s="32"/>
      <c r="R71" s="33" t="s">
        <v>120</v>
      </c>
      <c r="S71" s="33"/>
      <c r="T71" s="34">
        <f>5000</f>
        <v>5000</v>
      </c>
      <c r="U71" s="34"/>
      <c r="V71" s="34"/>
      <c r="W71" s="36" t="s">
        <v>53</v>
      </c>
      <c r="X71" s="36"/>
      <c r="Y71" s="36"/>
      <c r="Z71" s="36"/>
      <c r="AA71" s="36"/>
      <c r="AB71" s="35">
        <f>5000</f>
        <v>5000</v>
      </c>
      <c r="AC71" s="35"/>
    </row>
    <row r="72" spans="1:29" s="1" customFormat="1" ht="13.5" customHeight="1">
      <c r="A72" s="31" t="s">
        <v>123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142</v>
      </c>
      <c r="P72" s="32"/>
      <c r="Q72" s="32"/>
      <c r="R72" s="33" t="s">
        <v>124</v>
      </c>
      <c r="S72" s="33"/>
      <c r="T72" s="34">
        <f>19000</f>
        <v>19000</v>
      </c>
      <c r="U72" s="34"/>
      <c r="V72" s="34"/>
      <c r="W72" s="36" t="s">
        <v>53</v>
      </c>
      <c r="X72" s="36"/>
      <c r="Y72" s="36"/>
      <c r="Z72" s="36"/>
      <c r="AA72" s="36"/>
      <c r="AB72" s="35">
        <f>19000</f>
        <v>19000</v>
      </c>
      <c r="AC72" s="35"/>
    </row>
    <row r="73" spans="1:29" s="1" customFormat="1" ht="13.5" customHeight="1">
      <c r="A73" s="31" t="s">
        <v>127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142</v>
      </c>
      <c r="P73" s="32"/>
      <c r="Q73" s="32"/>
      <c r="R73" s="33" t="s">
        <v>128</v>
      </c>
      <c r="S73" s="33"/>
      <c r="T73" s="34">
        <f>662</f>
        <v>662</v>
      </c>
      <c r="U73" s="34"/>
      <c r="V73" s="34"/>
      <c r="W73" s="34">
        <f>662</f>
        <v>662</v>
      </c>
      <c r="X73" s="34"/>
      <c r="Y73" s="34"/>
      <c r="Z73" s="34"/>
      <c r="AA73" s="34"/>
      <c r="AB73" s="35">
        <f>0</f>
        <v>0</v>
      </c>
      <c r="AC73" s="35"/>
    </row>
    <row r="74" spans="1:29" s="1" customFormat="1" ht="13.5" customHeight="1">
      <c r="A74" s="31" t="s">
        <v>129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142</v>
      </c>
      <c r="P74" s="32"/>
      <c r="Q74" s="32"/>
      <c r="R74" s="33" t="s">
        <v>130</v>
      </c>
      <c r="S74" s="33"/>
      <c r="T74" s="34">
        <f>4338</f>
        <v>4338</v>
      </c>
      <c r="U74" s="34"/>
      <c r="V74" s="34"/>
      <c r="W74" s="36" t="s">
        <v>53</v>
      </c>
      <c r="X74" s="36"/>
      <c r="Y74" s="36"/>
      <c r="Z74" s="36"/>
      <c r="AA74" s="36"/>
      <c r="AB74" s="35">
        <f>4338</f>
        <v>4338</v>
      </c>
      <c r="AC74" s="35"/>
    </row>
    <row r="75" spans="1:29" s="1" customFormat="1" ht="13.5" customHeight="1">
      <c r="A75" s="31" t="s">
        <v>94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143</v>
      </c>
      <c r="P75" s="32"/>
      <c r="Q75" s="32"/>
      <c r="R75" s="33" t="s">
        <v>96</v>
      </c>
      <c r="S75" s="33"/>
      <c r="T75" s="34">
        <f>48064</f>
        <v>48064</v>
      </c>
      <c r="U75" s="34"/>
      <c r="V75" s="34"/>
      <c r="W75" s="34">
        <f>19666.38</f>
        <v>19666.38</v>
      </c>
      <c r="X75" s="34"/>
      <c r="Y75" s="34"/>
      <c r="Z75" s="34"/>
      <c r="AA75" s="34"/>
      <c r="AB75" s="35">
        <f>28397.62</f>
        <v>28397.62</v>
      </c>
      <c r="AC75" s="35"/>
    </row>
    <row r="76" spans="1:29" s="1" customFormat="1" ht="13.5" customHeight="1">
      <c r="A76" s="31" t="s">
        <v>97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144</v>
      </c>
      <c r="P76" s="32"/>
      <c r="Q76" s="32"/>
      <c r="R76" s="33" t="s">
        <v>99</v>
      </c>
      <c r="S76" s="33"/>
      <c r="T76" s="34">
        <f>14516</f>
        <v>14516</v>
      </c>
      <c r="U76" s="34"/>
      <c r="V76" s="34"/>
      <c r="W76" s="34">
        <f>6408.62</f>
        <v>6408.62</v>
      </c>
      <c r="X76" s="34"/>
      <c r="Y76" s="34"/>
      <c r="Z76" s="34"/>
      <c r="AA76" s="34"/>
      <c r="AB76" s="35">
        <f>8107.38</f>
        <v>8107.38</v>
      </c>
      <c r="AC76" s="35"/>
    </row>
    <row r="77" spans="1:29" s="1" customFormat="1" ht="13.5" customHeight="1">
      <c r="A77" s="31" t="s">
        <v>94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145</v>
      </c>
      <c r="P77" s="32"/>
      <c r="Q77" s="32"/>
      <c r="R77" s="33" t="s">
        <v>96</v>
      </c>
      <c r="S77" s="33"/>
      <c r="T77" s="34">
        <f>6720.43</f>
        <v>6720.43</v>
      </c>
      <c r="U77" s="34"/>
      <c r="V77" s="34"/>
      <c r="W77" s="34">
        <f>2900</f>
        <v>2900</v>
      </c>
      <c r="X77" s="34"/>
      <c r="Y77" s="34"/>
      <c r="Z77" s="34"/>
      <c r="AA77" s="34"/>
      <c r="AB77" s="35">
        <f>3820.43</f>
        <v>3820.43</v>
      </c>
      <c r="AC77" s="35"/>
    </row>
    <row r="78" spans="1:29" s="1" customFormat="1" ht="13.5" customHeight="1">
      <c r="A78" s="31" t="s">
        <v>97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146</v>
      </c>
      <c r="P78" s="32"/>
      <c r="Q78" s="32"/>
      <c r="R78" s="33" t="s">
        <v>99</v>
      </c>
      <c r="S78" s="33"/>
      <c r="T78" s="34">
        <f>2029.57</f>
        <v>2029.57</v>
      </c>
      <c r="U78" s="34"/>
      <c r="V78" s="34"/>
      <c r="W78" s="36" t="s">
        <v>53</v>
      </c>
      <c r="X78" s="36"/>
      <c r="Y78" s="36"/>
      <c r="Z78" s="36"/>
      <c r="AA78" s="36"/>
      <c r="AB78" s="35">
        <f>2029.57</f>
        <v>2029.57</v>
      </c>
      <c r="AC78" s="35"/>
    </row>
    <row r="79" spans="1:29" s="1" customFormat="1" ht="13.5" customHeight="1">
      <c r="A79" s="31" t="s">
        <v>108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147</v>
      </c>
      <c r="P79" s="32"/>
      <c r="Q79" s="32"/>
      <c r="R79" s="33" t="s">
        <v>110</v>
      </c>
      <c r="S79" s="33"/>
      <c r="T79" s="34">
        <f>15000</f>
        <v>15000</v>
      </c>
      <c r="U79" s="34"/>
      <c r="V79" s="34"/>
      <c r="W79" s="36" t="s">
        <v>53</v>
      </c>
      <c r="X79" s="36"/>
      <c r="Y79" s="36"/>
      <c r="Z79" s="36"/>
      <c r="AA79" s="36"/>
      <c r="AB79" s="35">
        <f>15000</f>
        <v>15000</v>
      </c>
      <c r="AC79" s="35"/>
    </row>
    <row r="80" spans="1:29" s="1" customFormat="1" ht="13.5" customHeight="1">
      <c r="A80" s="31" t="s">
        <v>125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148</v>
      </c>
      <c r="P80" s="32"/>
      <c r="Q80" s="32"/>
      <c r="R80" s="33" t="s">
        <v>126</v>
      </c>
      <c r="S80" s="33"/>
      <c r="T80" s="34">
        <f>300000</f>
        <v>300000</v>
      </c>
      <c r="U80" s="34"/>
      <c r="V80" s="34"/>
      <c r="W80" s="36" t="s">
        <v>53</v>
      </c>
      <c r="X80" s="36"/>
      <c r="Y80" s="36"/>
      <c r="Z80" s="36"/>
      <c r="AA80" s="36"/>
      <c r="AB80" s="35">
        <f>300000</f>
        <v>300000</v>
      </c>
      <c r="AC80" s="35"/>
    </row>
    <row r="81" spans="1:29" s="1" customFormat="1" ht="13.5" customHeight="1">
      <c r="A81" s="31" t="s">
        <v>114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148</v>
      </c>
      <c r="P81" s="32"/>
      <c r="Q81" s="32"/>
      <c r="R81" s="33" t="s">
        <v>116</v>
      </c>
      <c r="S81" s="33"/>
      <c r="T81" s="34">
        <f>18882</f>
        <v>18882</v>
      </c>
      <c r="U81" s="34"/>
      <c r="V81" s="34"/>
      <c r="W81" s="34">
        <f>18882</f>
        <v>18882</v>
      </c>
      <c r="X81" s="34"/>
      <c r="Y81" s="34"/>
      <c r="Z81" s="34"/>
      <c r="AA81" s="34"/>
      <c r="AB81" s="35">
        <f>0</f>
        <v>0</v>
      </c>
      <c r="AC81" s="35"/>
    </row>
    <row r="82" spans="1:29" s="1" customFormat="1" ht="13.5" customHeight="1">
      <c r="A82" s="31" t="s">
        <v>108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148</v>
      </c>
      <c r="P82" s="32"/>
      <c r="Q82" s="32"/>
      <c r="R82" s="33" t="s">
        <v>110</v>
      </c>
      <c r="S82" s="33"/>
      <c r="T82" s="34">
        <f>10000</f>
        <v>10000</v>
      </c>
      <c r="U82" s="34"/>
      <c r="V82" s="34"/>
      <c r="W82" s="34">
        <f>3171.87</f>
        <v>3171.87</v>
      </c>
      <c r="X82" s="34"/>
      <c r="Y82" s="34"/>
      <c r="Z82" s="34"/>
      <c r="AA82" s="34"/>
      <c r="AB82" s="35">
        <f>6828.13</f>
        <v>6828.13</v>
      </c>
      <c r="AC82" s="35"/>
    </row>
    <row r="83" spans="1:29" s="1" customFormat="1" ht="13.5" customHeight="1">
      <c r="A83" s="31" t="s">
        <v>108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149</v>
      </c>
      <c r="P83" s="32"/>
      <c r="Q83" s="32"/>
      <c r="R83" s="33" t="s">
        <v>110</v>
      </c>
      <c r="S83" s="33"/>
      <c r="T83" s="34">
        <f>13950</f>
        <v>13950</v>
      </c>
      <c r="U83" s="34"/>
      <c r="V83" s="34"/>
      <c r="W83" s="36" t="s">
        <v>53</v>
      </c>
      <c r="X83" s="36"/>
      <c r="Y83" s="36"/>
      <c r="Z83" s="36"/>
      <c r="AA83" s="36"/>
      <c r="AB83" s="35">
        <f>13950</f>
        <v>13950</v>
      </c>
      <c r="AC83" s="35"/>
    </row>
    <row r="84" spans="1:29" s="1" customFormat="1" ht="13.5" customHeight="1">
      <c r="A84" s="31" t="s">
        <v>108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150</v>
      </c>
      <c r="P84" s="32"/>
      <c r="Q84" s="32"/>
      <c r="R84" s="33" t="s">
        <v>110</v>
      </c>
      <c r="S84" s="33"/>
      <c r="T84" s="34">
        <f>5980</f>
        <v>5980</v>
      </c>
      <c r="U84" s="34"/>
      <c r="V84" s="34"/>
      <c r="W84" s="36" t="s">
        <v>53</v>
      </c>
      <c r="X84" s="36"/>
      <c r="Y84" s="36"/>
      <c r="Z84" s="36"/>
      <c r="AA84" s="36"/>
      <c r="AB84" s="35">
        <f>5980</f>
        <v>5980</v>
      </c>
      <c r="AC84" s="35"/>
    </row>
    <row r="85" spans="1:29" s="1" customFormat="1" ht="13.5" customHeight="1">
      <c r="A85" s="31" t="s">
        <v>94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151</v>
      </c>
      <c r="P85" s="32"/>
      <c r="Q85" s="32"/>
      <c r="R85" s="33" t="s">
        <v>96</v>
      </c>
      <c r="S85" s="33"/>
      <c r="T85" s="34">
        <f>505868.67</f>
        <v>505868.67</v>
      </c>
      <c r="U85" s="34"/>
      <c r="V85" s="34"/>
      <c r="W85" s="34">
        <f>58039.15</f>
        <v>58039.15</v>
      </c>
      <c r="X85" s="34"/>
      <c r="Y85" s="34"/>
      <c r="Z85" s="34"/>
      <c r="AA85" s="34"/>
      <c r="AB85" s="35">
        <f>447829.52</f>
        <v>447829.52</v>
      </c>
      <c r="AC85" s="35"/>
    </row>
    <row r="86" spans="1:29" s="1" customFormat="1" ht="13.5" customHeight="1">
      <c r="A86" s="31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152</v>
      </c>
      <c r="P86" s="32"/>
      <c r="Q86" s="32"/>
      <c r="R86" s="33" t="s">
        <v>99</v>
      </c>
      <c r="S86" s="33"/>
      <c r="T86" s="34">
        <f>152772.33</f>
        <v>152772.33</v>
      </c>
      <c r="U86" s="34"/>
      <c r="V86" s="34"/>
      <c r="W86" s="34">
        <f>17527.36</f>
        <v>17527.36</v>
      </c>
      <c r="X86" s="34"/>
      <c r="Y86" s="34"/>
      <c r="Z86" s="34"/>
      <c r="AA86" s="34"/>
      <c r="AB86" s="35">
        <f>135244.97</f>
        <v>135244.97</v>
      </c>
      <c r="AC86" s="35"/>
    </row>
    <row r="87" spans="1:29" s="1" customFormat="1" ht="13.5" customHeight="1">
      <c r="A87" s="31" t="s">
        <v>94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153</v>
      </c>
      <c r="P87" s="32"/>
      <c r="Q87" s="32"/>
      <c r="R87" s="33" t="s">
        <v>96</v>
      </c>
      <c r="S87" s="33"/>
      <c r="T87" s="34">
        <f>187713</f>
        <v>187713</v>
      </c>
      <c r="U87" s="34"/>
      <c r="V87" s="34"/>
      <c r="W87" s="34">
        <f>134053.05</f>
        <v>134053.05</v>
      </c>
      <c r="X87" s="34"/>
      <c r="Y87" s="34"/>
      <c r="Z87" s="34"/>
      <c r="AA87" s="34"/>
      <c r="AB87" s="35">
        <f>53659.95</f>
        <v>53659.95</v>
      </c>
      <c r="AC87" s="35"/>
    </row>
    <row r="88" spans="1:29" s="1" customFormat="1" ht="13.5" customHeight="1">
      <c r="A88" s="31" t="s">
        <v>97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154</v>
      </c>
      <c r="P88" s="32"/>
      <c r="Q88" s="32"/>
      <c r="R88" s="33" t="s">
        <v>99</v>
      </c>
      <c r="S88" s="33"/>
      <c r="T88" s="34">
        <f>56689.38</f>
        <v>56689.38</v>
      </c>
      <c r="U88" s="34"/>
      <c r="V88" s="34"/>
      <c r="W88" s="34">
        <f>40398.13</f>
        <v>40398.13</v>
      </c>
      <c r="X88" s="34"/>
      <c r="Y88" s="34"/>
      <c r="Z88" s="34"/>
      <c r="AA88" s="34"/>
      <c r="AB88" s="35">
        <f>16291.25</f>
        <v>16291.25</v>
      </c>
      <c r="AC88" s="35"/>
    </row>
    <row r="89" spans="1:29" s="1" customFormat="1" ht="13.5" customHeight="1">
      <c r="A89" s="31" t="s">
        <v>121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155</v>
      </c>
      <c r="P89" s="32"/>
      <c r="Q89" s="32"/>
      <c r="R89" s="33" t="s">
        <v>122</v>
      </c>
      <c r="S89" s="33"/>
      <c r="T89" s="34">
        <f>12637.85</f>
        <v>12637.85</v>
      </c>
      <c r="U89" s="34"/>
      <c r="V89" s="34"/>
      <c r="W89" s="34">
        <f>12637.85</f>
        <v>12637.85</v>
      </c>
      <c r="X89" s="34"/>
      <c r="Y89" s="34"/>
      <c r="Z89" s="34"/>
      <c r="AA89" s="34"/>
      <c r="AB89" s="35">
        <f>0</f>
        <v>0</v>
      </c>
      <c r="AC89" s="35"/>
    </row>
    <row r="90" spans="1:29" s="1" customFormat="1" ht="13.5" customHeight="1">
      <c r="A90" s="31" t="s">
        <v>125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155</v>
      </c>
      <c r="P90" s="32"/>
      <c r="Q90" s="32"/>
      <c r="R90" s="33" t="s">
        <v>126</v>
      </c>
      <c r="S90" s="33"/>
      <c r="T90" s="34">
        <f>2968899.89</f>
        <v>2968899.89</v>
      </c>
      <c r="U90" s="34"/>
      <c r="V90" s="34"/>
      <c r="W90" s="34">
        <f>631175</f>
        <v>631175</v>
      </c>
      <c r="X90" s="34"/>
      <c r="Y90" s="34"/>
      <c r="Z90" s="34"/>
      <c r="AA90" s="34"/>
      <c r="AB90" s="35">
        <f>2337724.89</f>
        <v>2337724.89</v>
      </c>
      <c r="AC90" s="35"/>
    </row>
    <row r="91" spans="1:29" s="1" customFormat="1" ht="13.5" customHeight="1">
      <c r="A91" s="31" t="s">
        <v>114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155</v>
      </c>
      <c r="P91" s="32"/>
      <c r="Q91" s="32"/>
      <c r="R91" s="33" t="s">
        <v>116</v>
      </c>
      <c r="S91" s="33"/>
      <c r="T91" s="34">
        <f>60000</f>
        <v>60000</v>
      </c>
      <c r="U91" s="34"/>
      <c r="V91" s="34"/>
      <c r="W91" s="36" t="s">
        <v>53</v>
      </c>
      <c r="X91" s="36"/>
      <c r="Y91" s="36"/>
      <c r="Z91" s="36"/>
      <c r="AA91" s="36"/>
      <c r="AB91" s="35">
        <f>60000</f>
        <v>60000</v>
      </c>
      <c r="AC91" s="35"/>
    </row>
    <row r="92" spans="1:29" s="1" customFormat="1" ht="13.5" customHeight="1">
      <c r="A92" s="31" t="s">
        <v>129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155</v>
      </c>
      <c r="P92" s="32"/>
      <c r="Q92" s="32"/>
      <c r="R92" s="33" t="s">
        <v>130</v>
      </c>
      <c r="S92" s="33"/>
      <c r="T92" s="34">
        <f>415000</f>
        <v>415000</v>
      </c>
      <c r="U92" s="34"/>
      <c r="V92" s="34"/>
      <c r="W92" s="34">
        <f>67620</f>
        <v>67620</v>
      </c>
      <c r="X92" s="34"/>
      <c r="Y92" s="34"/>
      <c r="Z92" s="34"/>
      <c r="AA92" s="34"/>
      <c r="AB92" s="35">
        <f>347380</f>
        <v>347380</v>
      </c>
      <c r="AC92" s="35"/>
    </row>
    <row r="93" spans="1:29" s="1" customFormat="1" ht="13.5" customHeight="1">
      <c r="A93" s="31" t="s">
        <v>105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156</v>
      </c>
      <c r="P93" s="32"/>
      <c r="Q93" s="32"/>
      <c r="R93" s="33" t="s">
        <v>107</v>
      </c>
      <c r="S93" s="33"/>
      <c r="T93" s="34">
        <f>8268000</f>
        <v>8268000</v>
      </c>
      <c r="U93" s="34"/>
      <c r="V93" s="34"/>
      <c r="W93" s="36" t="s">
        <v>53</v>
      </c>
      <c r="X93" s="36"/>
      <c r="Y93" s="36"/>
      <c r="Z93" s="36"/>
      <c r="AA93" s="36"/>
      <c r="AB93" s="35">
        <f>8268000</f>
        <v>8268000</v>
      </c>
      <c r="AC93" s="35"/>
    </row>
    <row r="94" spans="1:29" s="1" customFormat="1" ht="13.5" customHeight="1">
      <c r="A94" s="31" t="s">
        <v>105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157</v>
      </c>
      <c r="P94" s="32"/>
      <c r="Q94" s="32"/>
      <c r="R94" s="33" t="s">
        <v>107</v>
      </c>
      <c r="S94" s="33"/>
      <c r="T94" s="34">
        <f>2584512.12</f>
        <v>2584512.12</v>
      </c>
      <c r="U94" s="34"/>
      <c r="V94" s="34"/>
      <c r="W94" s="36" t="s">
        <v>53</v>
      </c>
      <c r="X94" s="36"/>
      <c r="Y94" s="36"/>
      <c r="Z94" s="36"/>
      <c r="AA94" s="36"/>
      <c r="AB94" s="35">
        <f>2584512.12</f>
        <v>2584512.12</v>
      </c>
      <c r="AC94" s="35"/>
    </row>
    <row r="95" spans="1:29" s="1" customFormat="1" ht="13.5" customHeight="1">
      <c r="A95" s="31" t="s">
        <v>105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158</v>
      </c>
      <c r="P95" s="32"/>
      <c r="Q95" s="32"/>
      <c r="R95" s="33" t="s">
        <v>107</v>
      </c>
      <c r="S95" s="33"/>
      <c r="T95" s="34">
        <f>435157.9</f>
        <v>435157.9</v>
      </c>
      <c r="U95" s="34"/>
      <c r="V95" s="34"/>
      <c r="W95" s="36" t="s">
        <v>53</v>
      </c>
      <c r="X95" s="36"/>
      <c r="Y95" s="36"/>
      <c r="Z95" s="36"/>
      <c r="AA95" s="36"/>
      <c r="AB95" s="35">
        <f>435157.9</f>
        <v>435157.9</v>
      </c>
      <c r="AC95" s="35"/>
    </row>
    <row r="96" spans="1:29" s="1" customFormat="1" ht="13.5" customHeight="1">
      <c r="A96" s="31" t="s">
        <v>105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159</v>
      </c>
      <c r="P96" s="32"/>
      <c r="Q96" s="32"/>
      <c r="R96" s="33" t="s">
        <v>107</v>
      </c>
      <c r="S96" s="33"/>
      <c r="T96" s="34">
        <f>1908470.26</f>
        <v>1908470.26</v>
      </c>
      <c r="U96" s="34"/>
      <c r="V96" s="34"/>
      <c r="W96" s="36" t="s">
        <v>53</v>
      </c>
      <c r="X96" s="36"/>
      <c r="Y96" s="36"/>
      <c r="Z96" s="36"/>
      <c r="AA96" s="36"/>
      <c r="AB96" s="35">
        <f>1908470.26</f>
        <v>1908470.26</v>
      </c>
      <c r="AC96" s="35"/>
    </row>
    <row r="97" spans="1:29" s="1" customFormat="1" ht="13.5" customHeight="1">
      <c r="A97" s="31" t="s">
        <v>114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160</v>
      </c>
      <c r="P97" s="32"/>
      <c r="Q97" s="32"/>
      <c r="R97" s="33" t="s">
        <v>116</v>
      </c>
      <c r="S97" s="33"/>
      <c r="T97" s="34">
        <f>400000</f>
        <v>400000</v>
      </c>
      <c r="U97" s="34"/>
      <c r="V97" s="34"/>
      <c r="W97" s="34">
        <f>239615.4</f>
        <v>239615.4</v>
      </c>
      <c r="X97" s="34"/>
      <c r="Y97" s="34"/>
      <c r="Z97" s="34"/>
      <c r="AA97" s="34"/>
      <c r="AB97" s="35">
        <f>160384.6</f>
        <v>160384.6</v>
      </c>
      <c r="AC97" s="35"/>
    </row>
    <row r="98" spans="1:29" s="1" customFormat="1" ht="13.5" customHeight="1">
      <c r="A98" s="31" t="s">
        <v>118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161</v>
      </c>
      <c r="P98" s="32"/>
      <c r="Q98" s="32"/>
      <c r="R98" s="33" t="s">
        <v>120</v>
      </c>
      <c r="S98" s="33"/>
      <c r="T98" s="34">
        <f>137881.87</f>
        <v>137881.87</v>
      </c>
      <c r="U98" s="34"/>
      <c r="V98" s="34"/>
      <c r="W98" s="34">
        <f>45576.54</f>
        <v>45576.54</v>
      </c>
      <c r="X98" s="34"/>
      <c r="Y98" s="34"/>
      <c r="Z98" s="34"/>
      <c r="AA98" s="34"/>
      <c r="AB98" s="35">
        <f>92305.33</f>
        <v>92305.33</v>
      </c>
      <c r="AC98" s="35"/>
    </row>
    <row r="99" spans="1:29" s="1" customFormat="1" ht="13.5" customHeight="1">
      <c r="A99" s="31" t="s">
        <v>125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161</v>
      </c>
      <c r="P99" s="32"/>
      <c r="Q99" s="32"/>
      <c r="R99" s="33" t="s">
        <v>126</v>
      </c>
      <c r="S99" s="33"/>
      <c r="T99" s="34">
        <f>80000</f>
        <v>80000</v>
      </c>
      <c r="U99" s="34"/>
      <c r="V99" s="34"/>
      <c r="W99" s="34">
        <f>31749.89</f>
        <v>31749.89</v>
      </c>
      <c r="X99" s="34"/>
      <c r="Y99" s="34"/>
      <c r="Z99" s="34"/>
      <c r="AA99" s="34"/>
      <c r="AB99" s="35">
        <f>48250.11</f>
        <v>48250.11</v>
      </c>
      <c r="AC99" s="35"/>
    </row>
    <row r="100" spans="1:29" s="1" customFormat="1" ht="13.5" customHeight="1">
      <c r="A100" s="31" t="s">
        <v>129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161</v>
      </c>
      <c r="P100" s="32"/>
      <c r="Q100" s="32"/>
      <c r="R100" s="33" t="s">
        <v>130</v>
      </c>
      <c r="S100" s="33"/>
      <c r="T100" s="34">
        <f>50000</f>
        <v>50000</v>
      </c>
      <c r="U100" s="34"/>
      <c r="V100" s="34"/>
      <c r="W100" s="34">
        <f>2050</f>
        <v>2050</v>
      </c>
      <c r="X100" s="34"/>
      <c r="Y100" s="34"/>
      <c r="Z100" s="34"/>
      <c r="AA100" s="34"/>
      <c r="AB100" s="35">
        <f>47950</f>
        <v>47950</v>
      </c>
      <c r="AC100" s="35"/>
    </row>
    <row r="101" spans="1:29" s="1" customFormat="1" ht="13.5" customHeight="1">
      <c r="A101" s="31" t="s">
        <v>125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162</v>
      </c>
      <c r="P101" s="32"/>
      <c r="Q101" s="32"/>
      <c r="R101" s="33" t="s">
        <v>126</v>
      </c>
      <c r="S101" s="33"/>
      <c r="T101" s="34">
        <f>264217.95</f>
        <v>264217.95</v>
      </c>
      <c r="U101" s="34"/>
      <c r="V101" s="34"/>
      <c r="W101" s="36" t="s">
        <v>53</v>
      </c>
      <c r="X101" s="36"/>
      <c r="Y101" s="36"/>
      <c r="Z101" s="36"/>
      <c r="AA101" s="36"/>
      <c r="AB101" s="35">
        <f>264217.95</f>
        <v>264217.95</v>
      </c>
      <c r="AC101" s="35"/>
    </row>
    <row r="102" spans="1:29" s="1" customFormat="1" ht="13.5" customHeight="1">
      <c r="A102" s="31" t="s">
        <v>125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163</v>
      </c>
      <c r="P102" s="32"/>
      <c r="Q102" s="32"/>
      <c r="R102" s="33" t="s">
        <v>126</v>
      </c>
      <c r="S102" s="33"/>
      <c r="T102" s="34">
        <f>100000</f>
        <v>100000</v>
      </c>
      <c r="U102" s="34"/>
      <c r="V102" s="34"/>
      <c r="W102" s="36" t="s">
        <v>53</v>
      </c>
      <c r="X102" s="36"/>
      <c r="Y102" s="36"/>
      <c r="Z102" s="36"/>
      <c r="AA102" s="36"/>
      <c r="AB102" s="35">
        <f>100000</f>
        <v>100000</v>
      </c>
      <c r="AC102" s="35"/>
    </row>
    <row r="103" spans="1:29" s="1" customFormat="1" ht="13.5" customHeight="1">
      <c r="A103" s="31" t="s">
        <v>129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164</v>
      </c>
      <c r="P103" s="32"/>
      <c r="Q103" s="32"/>
      <c r="R103" s="33" t="s">
        <v>130</v>
      </c>
      <c r="S103" s="33"/>
      <c r="T103" s="34">
        <f>35000</f>
        <v>35000</v>
      </c>
      <c r="U103" s="34"/>
      <c r="V103" s="34"/>
      <c r="W103" s="34">
        <f>34990</f>
        <v>34990</v>
      </c>
      <c r="X103" s="34"/>
      <c r="Y103" s="34"/>
      <c r="Z103" s="34"/>
      <c r="AA103" s="34"/>
      <c r="AB103" s="35">
        <f>10</f>
        <v>10</v>
      </c>
      <c r="AC103" s="35"/>
    </row>
    <row r="104" spans="1:29" s="1" customFormat="1" ht="13.5" customHeight="1">
      <c r="A104" s="31" t="s">
        <v>114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165</v>
      </c>
      <c r="P104" s="32"/>
      <c r="Q104" s="32"/>
      <c r="R104" s="33" t="s">
        <v>116</v>
      </c>
      <c r="S104" s="33"/>
      <c r="T104" s="34">
        <f>165000</f>
        <v>165000</v>
      </c>
      <c r="U104" s="34"/>
      <c r="V104" s="34"/>
      <c r="W104" s="36" t="s">
        <v>53</v>
      </c>
      <c r="X104" s="36"/>
      <c r="Y104" s="36"/>
      <c r="Z104" s="36"/>
      <c r="AA104" s="36"/>
      <c r="AB104" s="35">
        <f>165000</f>
        <v>165000</v>
      </c>
      <c r="AC104" s="35"/>
    </row>
    <row r="105" spans="1:29" s="1" customFormat="1" ht="13.5" customHeight="1">
      <c r="A105" s="31" t="s">
        <v>123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166</v>
      </c>
      <c r="P105" s="32"/>
      <c r="Q105" s="32"/>
      <c r="R105" s="33" t="s">
        <v>124</v>
      </c>
      <c r="S105" s="33"/>
      <c r="T105" s="34">
        <f>2000</f>
        <v>2000</v>
      </c>
      <c r="U105" s="34"/>
      <c r="V105" s="34"/>
      <c r="W105" s="36" t="s">
        <v>53</v>
      </c>
      <c r="X105" s="36"/>
      <c r="Y105" s="36"/>
      <c r="Z105" s="36"/>
      <c r="AA105" s="36"/>
      <c r="AB105" s="35">
        <f>2000</f>
        <v>2000</v>
      </c>
      <c r="AC105" s="35"/>
    </row>
    <row r="106" spans="1:29" s="1" customFormat="1" ht="13.5" customHeight="1">
      <c r="A106" s="31" t="s">
        <v>125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166</v>
      </c>
      <c r="P106" s="32"/>
      <c r="Q106" s="32"/>
      <c r="R106" s="33" t="s">
        <v>126</v>
      </c>
      <c r="S106" s="33"/>
      <c r="T106" s="34">
        <f>33000</f>
        <v>33000</v>
      </c>
      <c r="U106" s="34"/>
      <c r="V106" s="34"/>
      <c r="W106" s="34">
        <f>4390.57</f>
        <v>4390.57</v>
      </c>
      <c r="X106" s="34"/>
      <c r="Y106" s="34"/>
      <c r="Z106" s="34"/>
      <c r="AA106" s="34"/>
      <c r="AB106" s="35">
        <f>28609.43</f>
        <v>28609.43</v>
      </c>
      <c r="AC106" s="35"/>
    </row>
    <row r="107" spans="1:29" s="1" customFormat="1" ht="13.5" customHeight="1">
      <c r="A107" s="31" t="s">
        <v>129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166</v>
      </c>
      <c r="P107" s="32"/>
      <c r="Q107" s="32"/>
      <c r="R107" s="33" t="s">
        <v>130</v>
      </c>
      <c r="S107" s="33"/>
      <c r="T107" s="34">
        <f>15000</f>
        <v>15000</v>
      </c>
      <c r="U107" s="34"/>
      <c r="V107" s="34"/>
      <c r="W107" s="34">
        <f>12480</f>
        <v>12480</v>
      </c>
      <c r="X107" s="34"/>
      <c r="Y107" s="34"/>
      <c r="Z107" s="34"/>
      <c r="AA107" s="34"/>
      <c r="AB107" s="35">
        <f>2520</f>
        <v>2520</v>
      </c>
      <c r="AC107" s="35"/>
    </row>
    <row r="108" spans="1:29" s="1" customFormat="1" ht="13.5" customHeight="1">
      <c r="A108" s="31" t="s">
        <v>125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167</v>
      </c>
      <c r="P108" s="32"/>
      <c r="Q108" s="32"/>
      <c r="R108" s="33" t="s">
        <v>126</v>
      </c>
      <c r="S108" s="33"/>
      <c r="T108" s="34">
        <f>120000</f>
        <v>120000</v>
      </c>
      <c r="U108" s="34"/>
      <c r="V108" s="34"/>
      <c r="W108" s="34">
        <f>33161.75</f>
        <v>33161.75</v>
      </c>
      <c r="X108" s="34"/>
      <c r="Y108" s="34"/>
      <c r="Z108" s="34"/>
      <c r="AA108" s="34"/>
      <c r="AB108" s="35">
        <f>86838.25</f>
        <v>86838.25</v>
      </c>
      <c r="AC108" s="35"/>
    </row>
    <row r="109" spans="1:29" s="1" customFormat="1" ht="24" customHeight="1">
      <c r="A109" s="31" t="s">
        <v>168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169</v>
      </c>
      <c r="P109" s="32"/>
      <c r="Q109" s="32"/>
      <c r="R109" s="33" t="s">
        <v>170</v>
      </c>
      <c r="S109" s="33"/>
      <c r="T109" s="34">
        <f>50000</f>
        <v>50000</v>
      </c>
      <c r="U109" s="34"/>
      <c r="V109" s="34"/>
      <c r="W109" s="36" t="s">
        <v>53</v>
      </c>
      <c r="X109" s="36"/>
      <c r="Y109" s="36"/>
      <c r="Z109" s="36"/>
      <c r="AA109" s="36"/>
      <c r="AB109" s="35">
        <f>50000</f>
        <v>50000</v>
      </c>
      <c r="AC109" s="35"/>
    </row>
    <row r="110" spans="1:29" s="1" customFormat="1" ht="13.5" customHeight="1">
      <c r="A110" s="31" t="s">
        <v>105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171</v>
      </c>
      <c r="P110" s="32"/>
      <c r="Q110" s="32"/>
      <c r="R110" s="33" t="s">
        <v>107</v>
      </c>
      <c r="S110" s="33"/>
      <c r="T110" s="34">
        <f>11385000</f>
        <v>11385000</v>
      </c>
      <c r="U110" s="34"/>
      <c r="V110" s="34"/>
      <c r="W110" s="36" t="s">
        <v>53</v>
      </c>
      <c r="X110" s="36"/>
      <c r="Y110" s="36"/>
      <c r="Z110" s="36"/>
      <c r="AA110" s="36"/>
      <c r="AB110" s="35">
        <f>11385000</f>
        <v>11385000</v>
      </c>
      <c r="AC110" s="35"/>
    </row>
    <row r="111" spans="1:29" s="1" customFormat="1" ht="13.5" customHeight="1">
      <c r="A111" s="31" t="s">
        <v>105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172</v>
      </c>
      <c r="P111" s="32"/>
      <c r="Q111" s="32"/>
      <c r="R111" s="33" t="s">
        <v>107</v>
      </c>
      <c r="S111" s="33"/>
      <c r="T111" s="34">
        <f>1265000</f>
        <v>1265000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1265000</f>
        <v>1265000</v>
      </c>
      <c r="AC111" s="35"/>
    </row>
    <row r="112" spans="1:29" s="1" customFormat="1" ht="13.5" customHeight="1">
      <c r="A112" s="31" t="s">
        <v>123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173</v>
      </c>
      <c r="P112" s="32"/>
      <c r="Q112" s="32"/>
      <c r="R112" s="33" t="s">
        <v>124</v>
      </c>
      <c r="S112" s="33"/>
      <c r="T112" s="34">
        <f>1331046.03</f>
        <v>1331046.03</v>
      </c>
      <c r="U112" s="34"/>
      <c r="V112" s="34"/>
      <c r="W112" s="34">
        <f>799255.93</f>
        <v>799255.93</v>
      </c>
      <c r="X112" s="34"/>
      <c r="Y112" s="34"/>
      <c r="Z112" s="34"/>
      <c r="AA112" s="34"/>
      <c r="AB112" s="35">
        <f>531790.1</f>
        <v>531790.1</v>
      </c>
      <c r="AC112" s="35"/>
    </row>
    <row r="113" spans="1:29" s="1" customFormat="1" ht="13.5" customHeight="1">
      <c r="A113" s="31" t="s">
        <v>129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174</v>
      </c>
      <c r="P113" s="32"/>
      <c r="Q113" s="32"/>
      <c r="R113" s="33" t="s">
        <v>130</v>
      </c>
      <c r="S113" s="33"/>
      <c r="T113" s="34">
        <f>29999.2</f>
        <v>29999.2</v>
      </c>
      <c r="U113" s="34"/>
      <c r="V113" s="34"/>
      <c r="W113" s="34">
        <f>29999.2</f>
        <v>29999.2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125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175</v>
      </c>
      <c r="P114" s="32"/>
      <c r="Q114" s="32"/>
      <c r="R114" s="33" t="s">
        <v>126</v>
      </c>
      <c r="S114" s="33"/>
      <c r="T114" s="34">
        <f>100000</f>
        <v>100000</v>
      </c>
      <c r="U114" s="34"/>
      <c r="V114" s="34"/>
      <c r="W114" s="34">
        <f>45870</f>
        <v>45870</v>
      </c>
      <c r="X114" s="34"/>
      <c r="Y114" s="34"/>
      <c r="Z114" s="34"/>
      <c r="AA114" s="34"/>
      <c r="AB114" s="35">
        <f>54130</f>
        <v>54130</v>
      </c>
      <c r="AC114" s="35"/>
    </row>
    <row r="115" spans="1:29" s="1" customFormat="1" ht="13.5" customHeight="1">
      <c r="A115" s="31" t="s">
        <v>125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176</v>
      </c>
      <c r="P115" s="32"/>
      <c r="Q115" s="32"/>
      <c r="R115" s="33" t="s">
        <v>126</v>
      </c>
      <c r="S115" s="33"/>
      <c r="T115" s="34">
        <f>50000</f>
        <v>50000</v>
      </c>
      <c r="U115" s="34"/>
      <c r="V115" s="34"/>
      <c r="W115" s="36" t="s">
        <v>53</v>
      </c>
      <c r="X115" s="36"/>
      <c r="Y115" s="36"/>
      <c r="Z115" s="36"/>
      <c r="AA115" s="36"/>
      <c r="AB115" s="35">
        <f>50000</f>
        <v>50000</v>
      </c>
      <c r="AC115" s="35"/>
    </row>
    <row r="116" spans="1:29" s="1" customFormat="1" ht="13.5" customHeight="1">
      <c r="A116" s="31" t="s">
        <v>125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177</v>
      </c>
      <c r="P116" s="32"/>
      <c r="Q116" s="32"/>
      <c r="R116" s="33" t="s">
        <v>126</v>
      </c>
      <c r="S116" s="33"/>
      <c r="T116" s="34">
        <f>50000</f>
        <v>50000</v>
      </c>
      <c r="U116" s="34"/>
      <c r="V116" s="34"/>
      <c r="W116" s="36" t="s">
        <v>53</v>
      </c>
      <c r="X116" s="36"/>
      <c r="Y116" s="36"/>
      <c r="Z116" s="36"/>
      <c r="AA116" s="36"/>
      <c r="AB116" s="35">
        <f>50000</f>
        <v>50000</v>
      </c>
      <c r="AC116" s="35"/>
    </row>
    <row r="117" spans="1:29" s="1" customFormat="1" ht="13.5" customHeight="1">
      <c r="A117" s="31" t="s">
        <v>121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178</v>
      </c>
      <c r="P117" s="32"/>
      <c r="Q117" s="32"/>
      <c r="R117" s="33" t="s">
        <v>122</v>
      </c>
      <c r="S117" s="33"/>
      <c r="T117" s="34">
        <f>99000</f>
        <v>99000</v>
      </c>
      <c r="U117" s="34"/>
      <c r="V117" s="34"/>
      <c r="W117" s="36" t="s">
        <v>53</v>
      </c>
      <c r="X117" s="36"/>
      <c r="Y117" s="36"/>
      <c r="Z117" s="36"/>
      <c r="AA117" s="36"/>
      <c r="AB117" s="35">
        <f>99000</f>
        <v>99000</v>
      </c>
      <c r="AC117" s="35"/>
    </row>
    <row r="118" spans="1:29" s="1" customFormat="1" ht="13.5" customHeight="1">
      <c r="A118" s="31" t="s">
        <v>125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178</v>
      </c>
      <c r="P118" s="32"/>
      <c r="Q118" s="32"/>
      <c r="R118" s="33" t="s">
        <v>126</v>
      </c>
      <c r="S118" s="33"/>
      <c r="T118" s="34">
        <f>703672.13</f>
        <v>703672.13</v>
      </c>
      <c r="U118" s="34"/>
      <c r="V118" s="34"/>
      <c r="W118" s="34">
        <f>131802</f>
        <v>131802</v>
      </c>
      <c r="X118" s="34"/>
      <c r="Y118" s="34"/>
      <c r="Z118" s="34"/>
      <c r="AA118" s="34"/>
      <c r="AB118" s="35">
        <f>571870.13</f>
        <v>571870.13</v>
      </c>
      <c r="AC118" s="35"/>
    </row>
    <row r="119" spans="1:29" s="1" customFormat="1" ht="13.5" customHeight="1">
      <c r="A119" s="31" t="s">
        <v>129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178</v>
      </c>
      <c r="P119" s="32"/>
      <c r="Q119" s="32"/>
      <c r="R119" s="33" t="s">
        <v>130</v>
      </c>
      <c r="S119" s="33"/>
      <c r="T119" s="34">
        <f>100000</f>
        <v>100000</v>
      </c>
      <c r="U119" s="34"/>
      <c r="V119" s="34"/>
      <c r="W119" s="34">
        <f>5543</f>
        <v>5543</v>
      </c>
      <c r="X119" s="34"/>
      <c r="Y119" s="34"/>
      <c r="Z119" s="34"/>
      <c r="AA119" s="34"/>
      <c r="AB119" s="35">
        <f>94457</f>
        <v>94457</v>
      </c>
      <c r="AC119" s="35"/>
    </row>
    <row r="120" spans="1:29" s="1" customFormat="1" ht="13.5" customHeight="1">
      <c r="A120" s="31" t="s">
        <v>105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179</v>
      </c>
      <c r="P120" s="32"/>
      <c r="Q120" s="32"/>
      <c r="R120" s="33" t="s">
        <v>107</v>
      </c>
      <c r="S120" s="33"/>
      <c r="T120" s="34">
        <f>234790</f>
        <v>234790</v>
      </c>
      <c r="U120" s="34"/>
      <c r="V120" s="34"/>
      <c r="W120" s="36" t="s">
        <v>53</v>
      </c>
      <c r="X120" s="36"/>
      <c r="Y120" s="36"/>
      <c r="Z120" s="36"/>
      <c r="AA120" s="36"/>
      <c r="AB120" s="35">
        <f>234790</f>
        <v>234790</v>
      </c>
      <c r="AC120" s="35"/>
    </row>
    <row r="121" spans="1:29" s="1" customFormat="1" ht="13.5" customHeight="1">
      <c r="A121" s="31" t="s">
        <v>105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180</v>
      </c>
      <c r="P121" s="32"/>
      <c r="Q121" s="32"/>
      <c r="R121" s="33" t="s">
        <v>107</v>
      </c>
      <c r="S121" s="33"/>
      <c r="T121" s="34">
        <f>2113210</f>
        <v>2113210</v>
      </c>
      <c r="U121" s="34"/>
      <c r="V121" s="34"/>
      <c r="W121" s="36" t="s">
        <v>53</v>
      </c>
      <c r="X121" s="36"/>
      <c r="Y121" s="36"/>
      <c r="Z121" s="36"/>
      <c r="AA121" s="36"/>
      <c r="AB121" s="35">
        <f>2113210</f>
        <v>2113210</v>
      </c>
      <c r="AC121" s="35"/>
    </row>
    <row r="122" spans="1:29" s="1" customFormat="1" ht="13.5" customHeight="1">
      <c r="A122" s="31" t="s">
        <v>105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181</v>
      </c>
      <c r="P122" s="32"/>
      <c r="Q122" s="32"/>
      <c r="R122" s="33" t="s">
        <v>107</v>
      </c>
      <c r="S122" s="33"/>
      <c r="T122" s="34">
        <f>275990</f>
        <v>275990</v>
      </c>
      <c r="U122" s="34"/>
      <c r="V122" s="34"/>
      <c r="W122" s="36" t="s">
        <v>53</v>
      </c>
      <c r="X122" s="36"/>
      <c r="Y122" s="36"/>
      <c r="Z122" s="36"/>
      <c r="AA122" s="36"/>
      <c r="AB122" s="35">
        <f>275990</f>
        <v>275990</v>
      </c>
      <c r="AC122" s="35"/>
    </row>
    <row r="123" spans="1:29" s="1" customFormat="1" ht="13.5" customHeight="1">
      <c r="A123" s="31" t="s">
        <v>94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182</v>
      </c>
      <c r="P123" s="32"/>
      <c r="Q123" s="32"/>
      <c r="R123" s="33" t="s">
        <v>96</v>
      </c>
      <c r="S123" s="33"/>
      <c r="T123" s="34">
        <f>1612000</f>
        <v>1612000</v>
      </c>
      <c r="U123" s="34"/>
      <c r="V123" s="34"/>
      <c r="W123" s="34">
        <f>661798.5</f>
        <v>661798.5</v>
      </c>
      <c r="X123" s="34"/>
      <c r="Y123" s="34"/>
      <c r="Z123" s="34"/>
      <c r="AA123" s="34"/>
      <c r="AB123" s="35">
        <f>950201.5</f>
        <v>950201.5</v>
      </c>
      <c r="AC123" s="35"/>
    </row>
    <row r="124" spans="1:29" s="1" customFormat="1" ht="13.5" customHeight="1">
      <c r="A124" s="31" t="s">
        <v>101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183</v>
      </c>
      <c r="P124" s="32"/>
      <c r="Q124" s="32"/>
      <c r="R124" s="33" t="s">
        <v>103</v>
      </c>
      <c r="S124" s="33"/>
      <c r="T124" s="34">
        <f>10000</f>
        <v>10000</v>
      </c>
      <c r="U124" s="34"/>
      <c r="V124" s="34"/>
      <c r="W124" s="34">
        <f>697.6</f>
        <v>697.6</v>
      </c>
      <c r="X124" s="34"/>
      <c r="Y124" s="34"/>
      <c r="Z124" s="34"/>
      <c r="AA124" s="34"/>
      <c r="AB124" s="35">
        <f>9302.4</f>
        <v>9302.4</v>
      </c>
      <c r="AC124" s="35"/>
    </row>
    <row r="125" spans="1:29" s="1" customFormat="1" ht="13.5" customHeight="1">
      <c r="A125" s="31" t="s">
        <v>97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184</v>
      </c>
      <c r="P125" s="32"/>
      <c r="Q125" s="32"/>
      <c r="R125" s="33" t="s">
        <v>99</v>
      </c>
      <c r="S125" s="33"/>
      <c r="T125" s="34">
        <f>486824</f>
        <v>486824</v>
      </c>
      <c r="U125" s="34"/>
      <c r="V125" s="34"/>
      <c r="W125" s="34">
        <f>167007.02</f>
        <v>167007.02</v>
      </c>
      <c r="X125" s="34"/>
      <c r="Y125" s="34"/>
      <c r="Z125" s="34"/>
      <c r="AA125" s="34"/>
      <c r="AB125" s="35">
        <f>319816.98</f>
        <v>319816.98</v>
      </c>
      <c r="AC125" s="35"/>
    </row>
    <row r="126" spans="1:29" s="1" customFormat="1" ht="13.5" customHeight="1">
      <c r="A126" s="31" t="s">
        <v>118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185</v>
      </c>
      <c r="P126" s="32"/>
      <c r="Q126" s="32"/>
      <c r="R126" s="33" t="s">
        <v>120</v>
      </c>
      <c r="S126" s="33"/>
      <c r="T126" s="34">
        <f>55000</f>
        <v>55000</v>
      </c>
      <c r="U126" s="34"/>
      <c r="V126" s="34"/>
      <c r="W126" s="34">
        <f>16672.02</f>
        <v>16672.02</v>
      </c>
      <c r="X126" s="34"/>
      <c r="Y126" s="34"/>
      <c r="Z126" s="34"/>
      <c r="AA126" s="34"/>
      <c r="AB126" s="35">
        <f>38327.98</f>
        <v>38327.98</v>
      </c>
      <c r="AC126" s="35"/>
    </row>
    <row r="127" spans="1:29" s="1" customFormat="1" ht="13.5" customHeight="1">
      <c r="A127" s="31" t="s">
        <v>114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185</v>
      </c>
      <c r="P127" s="32"/>
      <c r="Q127" s="32"/>
      <c r="R127" s="33" t="s">
        <v>116</v>
      </c>
      <c r="S127" s="33"/>
      <c r="T127" s="34">
        <f>50000</f>
        <v>50000</v>
      </c>
      <c r="U127" s="34"/>
      <c r="V127" s="34"/>
      <c r="W127" s="34">
        <f>18550</f>
        <v>18550</v>
      </c>
      <c r="X127" s="34"/>
      <c r="Y127" s="34"/>
      <c r="Z127" s="34"/>
      <c r="AA127" s="34"/>
      <c r="AB127" s="35">
        <f>31450</f>
        <v>31450</v>
      </c>
      <c r="AC127" s="35"/>
    </row>
    <row r="128" spans="1:29" s="1" customFormat="1" ht="13.5" customHeight="1">
      <c r="A128" s="31" t="s">
        <v>123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186</v>
      </c>
      <c r="P128" s="32"/>
      <c r="Q128" s="32"/>
      <c r="R128" s="33" t="s">
        <v>124</v>
      </c>
      <c r="S128" s="33"/>
      <c r="T128" s="34">
        <f>148739.98</f>
        <v>148739.98</v>
      </c>
      <c r="U128" s="34"/>
      <c r="V128" s="34"/>
      <c r="W128" s="34">
        <f>88652.3</f>
        <v>88652.3</v>
      </c>
      <c r="X128" s="34"/>
      <c r="Y128" s="34"/>
      <c r="Z128" s="34"/>
      <c r="AA128" s="34"/>
      <c r="AB128" s="35">
        <f>60087.68</f>
        <v>60087.68</v>
      </c>
      <c r="AC128" s="35"/>
    </row>
    <row r="129" spans="1:29" s="1" customFormat="1" ht="13.5" customHeight="1">
      <c r="A129" s="31" t="s">
        <v>125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186</v>
      </c>
      <c r="P129" s="32"/>
      <c r="Q129" s="32"/>
      <c r="R129" s="33" t="s">
        <v>126</v>
      </c>
      <c r="S129" s="33"/>
      <c r="T129" s="34">
        <f>55000</f>
        <v>55000</v>
      </c>
      <c r="U129" s="34"/>
      <c r="V129" s="34"/>
      <c r="W129" s="34">
        <f>3584.51</f>
        <v>3584.51</v>
      </c>
      <c r="X129" s="34"/>
      <c r="Y129" s="34"/>
      <c r="Z129" s="34"/>
      <c r="AA129" s="34"/>
      <c r="AB129" s="35">
        <f>51415.49</f>
        <v>51415.49</v>
      </c>
      <c r="AC129" s="35"/>
    </row>
    <row r="130" spans="1:29" s="1" customFormat="1" ht="13.5" customHeight="1">
      <c r="A130" s="31" t="s">
        <v>108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186</v>
      </c>
      <c r="P130" s="32"/>
      <c r="Q130" s="32"/>
      <c r="R130" s="33" t="s">
        <v>110</v>
      </c>
      <c r="S130" s="33"/>
      <c r="T130" s="34">
        <f>15000</f>
        <v>15000</v>
      </c>
      <c r="U130" s="34"/>
      <c r="V130" s="34"/>
      <c r="W130" s="36" t="s">
        <v>53</v>
      </c>
      <c r="X130" s="36"/>
      <c r="Y130" s="36"/>
      <c r="Z130" s="36"/>
      <c r="AA130" s="36"/>
      <c r="AB130" s="35">
        <f>15000</f>
        <v>15000</v>
      </c>
      <c r="AC130" s="35"/>
    </row>
    <row r="131" spans="1:29" s="1" customFormat="1" ht="13.5" customHeight="1">
      <c r="A131" s="31" t="s">
        <v>129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186</v>
      </c>
      <c r="P131" s="32"/>
      <c r="Q131" s="32"/>
      <c r="R131" s="33" t="s">
        <v>130</v>
      </c>
      <c r="S131" s="33"/>
      <c r="T131" s="34">
        <f>10000</f>
        <v>10000</v>
      </c>
      <c r="U131" s="34"/>
      <c r="V131" s="34"/>
      <c r="W131" s="34">
        <f>1000</f>
        <v>1000</v>
      </c>
      <c r="X131" s="34"/>
      <c r="Y131" s="34"/>
      <c r="Z131" s="34"/>
      <c r="AA131" s="34"/>
      <c r="AB131" s="35">
        <f>9000</f>
        <v>9000</v>
      </c>
      <c r="AC131" s="35"/>
    </row>
    <row r="132" spans="1:29" s="1" customFormat="1" ht="13.5" customHeight="1">
      <c r="A132" s="31" t="s">
        <v>131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187</v>
      </c>
      <c r="P132" s="32"/>
      <c r="Q132" s="32"/>
      <c r="R132" s="33" t="s">
        <v>133</v>
      </c>
      <c r="S132" s="33"/>
      <c r="T132" s="34">
        <f>7700</f>
        <v>7700</v>
      </c>
      <c r="U132" s="34"/>
      <c r="V132" s="34"/>
      <c r="W132" s="34">
        <f>2500</f>
        <v>2500</v>
      </c>
      <c r="X132" s="34"/>
      <c r="Y132" s="34"/>
      <c r="Z132" s="34"/>
      <c r="AA132" s="34"/>
      <c r="AB132" s="35">
        <f>5200</f>
        <v>5200</v>
      </c>
      <c r="AC132" s="35"/>
    </row>
    <row r="133" spans="1:29" s="1" customFormat="1" ht="13.5" customHeight="1">
      <c r="A133" s="31" t="s">
        <v>131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188</v>
      </c>
      <c r="P133" s="32"/>
      <c r="Q133" s="32"/>
      <c r="R133" s="33" t="s">
        <v>133</v>
      </c>
      <c r="S133" s="33"/>
      <c r="T133" s="34">
        <f>5200</f>
        <v>5200</v>
      </c>
      <c r="U133" s="34"/>
      <c r="V133" s="34"/>
      <c r="W133" s="34">
        <f>3000</f>
        <v>3000</v>
      </c>
      <c r="X133" s="34"/>
      <c r="Y133" s="34"/>
      <c r="Z133" s="34"/>
      <c r="AA133" s="34"/>
      <c r="AB133" s="35">
        <f>2200</f>
        <v>2200</v>
      </c>
      <c r="AC133" s="35"/>
    </row>
    <row r="134" spans="1:29" s="1" customFormat="1" ht="13.5" customHeight="1">
      <c r="A134" s="31" t="s">
        <v>94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189</v>
      </c>
      <c r="P134" s="32"/>
      <c r="Q134" s="32"/>
      <c r="R134" s="33" t="s">
        <v>96</v>
      </c>
      <c r="S134" s="33"/>
      <c r="T134" s="34">
        <f>407427.05</f>
        <v>407427.05</v>
      </c>
      <c r="U134" s="34"/>
      <c r="V134" s="34"/>
      <c r="W134" s="36" t="s">
        <v>53</v>
      </c>
      <c r="X134" s="36"/>
      <c r="Y134" s="36"/>
      <c r="Z134" s="36"/>
      <c r="AA134" s="36"/>
      <c r="AB134" s="35">
        <f>407427.05</f>
        <v>407427.05</v>
      </c>
      <c r="AC134" s="35"/>
    </row>
    <row r="135" spans="1:29" s="1" customFormat="1" ht="13.5" customHeight="1">
      <c r="A135" s="31" t="s">
        <v>97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190</v>
      </c>
      <c r="P135" s="32"/>
      <c r="Q135" s="32"/>
      <c r="R135" s="33" t="s">
        <v>99</v>
      </c>
      <c r="S135" s="33"/>
      <c r="T135" s="34">
        <f>123042.95</f>
        <v>123042.95</v>
      </c>
      <c r="U135" s="34"/>
      <c r="V135" s="34"/>
      <c r="W135" s="36" t="s">
        <v>53</v>
      </c>
      <c r="X135" s="36"/>
      <c r="Y135" s="36"/>
      <c r="Z135" s="36"/>
      <c r="AA135" s="36"/>
      <c r="AB135" s="35">
        <f>123042.95</f>
        <v>123042.95</v>
      </c>
      <c r="AC135" s="35"/>
    </row>
    <row r="136" spans="1:29" s="1" customFormat="1" ht="13.5" customHeight="1">
      <c r="A136" s="31" t="s">
        <v>94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191</v>
      </c>
      <c r="P136" s="32"/>
      <c r="Q136" s="32"/>
      <c r="R136" s="33" t="s">
        <v>96</v>
      </c>
      <c r="S136" s="33"/>
      <c r="T136" s="34">
        <f>4730000</f>
        <v>4730000</v>
      </c>
      <c r="U136" s="34"/>
      <c r="V136" s="34"/>
      <c r="W136" s="34">
        <f>1843458.09</f>
        <v>1843458.09</v>
      </c>
      <c r="X136" s="34"/>
      <c r="Y136" s="34"/>
      <c r="Z136" s="34"/>
      <c r="AA136" s="34"/>
      <c r="AB136" s="35">
        <f>2886541.91</f>
        <v>2886541.91</v>
      </c>
      <c r="AC136" s="35"/>
    </row>
    <row r="137" spans="1:29" s="1" customFormat="1" ht="13.5" customHeight="1">
      <c r="A137" s="31" t="s">
        <v>101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192</v>
      </c>
      <c r="P137" s="32"/>
      <c r="Q137" s="32"/>
      <c r="R137" s="33" t="s">
        <v>103</v>
      </c>
      <c r="S137" s="33"/>
      <c r="T137" s="34">
        <f>60000</f>
        <v>60000</v>
      </c>
      <c r="U137" s="34"/>
      <c r="V137" s="34"/>
      <c r="W137" s="34">
        <f>37350.04</f>
        <v>37350.04</v>
      </c>
      <c r="X137" s="34"/>
      <c r="Y137" s="34"/>
      <c r="Z137" s="34"/>
      <c r="AA137" s="34"/>
      <c r="AB137" s="35">
        <f>22649.96</f>
        <v>22649.96</v>
      </c>
      <c r="AC137" s="35"/>
    </row>
    <row r="138" spans="1:29" s="1" customFormat="1" ht="13.5" customHeight="1">
      <c r="A138" s="31" t="s">
        <v>97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193</v>
      </c>
      <c r="P138" s="32"/>
      <c r="Q138" s="32"/>
      <c r="R138" s="33" t="s">
        <v>99</v>
      </c>
      <c r="S138" s="33"/>
      <c r="T138" s="34">
        <f>1430000</f>
        <v>1430000</v>
      </c>
      <c r="U138" s="34"/>
      <c r="V138" s="34"/>
      <c r="W138" s="34">
        <f>553895.53</f>
        <v>553895.53</v>
      </c>
      <c r="X138" s="34"/>
      <c r="Y138" s="34"/>
      <c r="Z138" s="34"/>
      <c r="AA138" s="34"/>
      <c r="AB138" s="35">
        <f>876104.47</f>
        <v>876104.47</v>
      </c>
      <c r="AC138" s="35"/>
    </row>
    <row r="139" spans="1:29" s="1" customFormat="1" ht="13.5" customHeight="1">
      <c r="A139" s="31" t="s">
        <v>118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93</v>
      </c>
      <c r="M139" s="32"/>
      <c r="N139" s="32"/>
      <c r="O139" s="32" t="s">
        <v>194</v>
      </c>
      <c r="P139" s="32"/>
      <c r="Q139" s="32"/>
      <c r="R139" s="33" t="s">
        <v>120</v>
      </c>
      <c r="S139" s="33"/>
      <c r="T139" s="34">
        <f>5500</f>
        <v>5500</v>
      </c>
      <c r="U139" s="34"/>
      <c r="V139" s="34"/>
      <c r="W139" s="34">
        <f>1770.95</f>
        <v>1770.95</v>
      </c>
      <c r="X139" s="34"/>
      <c r="Y139" s="34"/>
      <c r="Z139" s="34"/>
      <c r="AA139" s="34"/>
      <c r="AB139" s="35">
        <f>3729.05</f>
        <v>3729.05</v>
      </c>
      <c r="AC139" s="35"/>
    </row>
    <row r="140" spans="1:29" s="1" customFormat="1" ht="13.5" customHeight="1">
      <c r="A140" s="31" t="s">
        <v>118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93</v>
      </c>
      <c r="M140" s="32"/>
      <c r="N140" s="32"/>
      <c r="O140" s="32" t="s">
        <v>195</v>
      </c>
      <c r="P140" s="32"/>
      <c r="Q140" s="32"/>
      <c r="R140" s="33" t="s">
        <v>120</v>
      </c>
      <c r="S140" s="33"/>
      <c r="T140" s="34">
        <f>3000</f>
        <v>3000</v>
      </c>
      <c r="U140" s="34"/>
      <c r="V140" s="34"/>
      <c r="W140" s="34">
        <f>1000</f>
        <v>1000</v>
      </c>
      <c r="X140" s="34"/>
      <c r="Y140" s="34"/>
      <c r="Z140" s="34"/>
      <c r="AA140" s="34"/>
      <c r="AB140" s="35">
        <f>2000</f>
        <v>2000</v>
      </c>
      <c r="AC140" s="35"/>
    </row>
    <row r="141" spans="1:29" s="1" customFormat="1" ht="13.5" customHeight="1">
      <c r="A141" s="31" t="s">
        <v>123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93</v>
      </c>
      <c r="M141" s="32"/>
      <c r="N141" s="32"/>
      <c r="O141" s="32" t="s">
        <v>195</v>
      </c>
      <c r="P141" s="32"/>
      <c r="Q141" s="32"/>
      <c r="R141" s="33" t="s">
        <v>124</v>
      </c>
      <c r="S141" s="33"/>
      <c r="T141" s="34">
        <f>610025.72</f>
        <v>610025.72</v>
      </c>
      <c r="U141" s="34"/>
      <c r="V141" s="34"/>
      <c r="W141" s="34">
        <f>352556.97</f>
        <v>352556.97</v>
      </c>
      <c r="X141" s="34"/>
      <c r="Y141" s="34"/>
      <c r="Z141" s="34"/>
      <c r="AA141" s="34"/>
      <c r="AB141" s="35">
        <f>257468.75</f>
        <v>257468.75</v>
      </c>
      <c r="AC141" s="35"/>
    </row>
    <row r="142" spans="1:29" s="1" customFormat="1" ht="13.5" customHeight="1">
      <c r="A142" s="31" t="s">
        <v>125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93</v>
      </c>
      <c r="M142" s="32"/>
      <c r="N142" s="32"/>
      <c r="O142" s="32" t="s">
        <v>195</v>
      </c>
      <c r="P142" s="32"/>
      <c r="Q142" s="32"/>
      <c r="R142" s="33" t="s">
        <v>126</v>
      </c>
      <c r="S142" s="33"/>
      <c r="T142" s="34">
        <f>72000</f>
        <v>72000</v>
      </c>
      <c r="U142" s="34"/>
      <c r="V142" s="34"/>
      <c r="W142" s="34">
        <f>52620.67</f>
        <v>52620.67</v>
      </c>
      <c r="X142" s="34"/>
      <c r="Y142" s="34"/>
      <c r="Z142" s="34"/>
      <c r="AA142" s="34"/>
      <c r="AB142" s="35">
        <f>19379.33</f>
        <v>19379.33</v>
      </c>
      <c r="AC142" s="35"/>
    </row>
    <row r="143" spans="1:29" s="1" customFormat="1" ht="13.5" customHeight="1">
      <c r="A143" s="31" t="s">
        <v>114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93</v>
      </c>
      <c r="M143" s="32"/>
      <c r="N143" s="32"/>
      <c r="O143" s="32" t="s">
        <v>195</v>
      </c>
      <c r="P143" s="32"/>
      <c r="Q143" s="32"/>
      <c r="R143" s="33" t="s">
        <v>116</v>
      </c>
      <c r="S143" s="33"/>
      <c r="T143" s="34">
        <f>820000</f>
        <v>820000</v>
      </c>
      <c r="U143" s="34"/>
      <c r="V143" s="34"/>
      <c r="W143" s="34">
        <f>273610</f>
        <v>273610</v>
      </c>
      <c r="X143" s="34"/>
      <c r="Y143" s="34"/>
      <c r="Z143" s="34"/>
      <c r="AA143" s="34"/>
      <c r="AB143" s="35">
        <f>546390</f>
        <v>546390</v>
      </c>
      <c r="AC143" s="35"/>
    </row>
    <row r="144" spans="1:29" s="1" customFormat="1" ht="13.5" customHeight="1">
      <c r="A144" s="31" t="s">
        <v>108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93</v>
      </c>
      <c r="M144" s="32"/>
      <c r="N144" s="32"/>
      <c r="O144" s="32" t="s">
        <v>195</v>
      </c>
      <c r="P144" s="32"/>
      <c r="Q144" s="32"/>
      <c r="R144" s="33" t="s">
        <v>110</v>
      </c>
      <c r="S144" s="33"/>
      <c r="T144" s="34">
        <f>50000</f>
        <v>50000</v>
      </c>
      <c r="U144" s="34"/>
      <c r="V144" s="34"/>
      <c r="W144" s="34">
        <f>16000</f>
        <v>16000</v>
      </c>
      <c r="X144" s="34"/>
      <c r="Y144" s="34"/>
      <c r="Z144" s="34"/>
      <c r="AA144" s="34"/>
      <c r="AB144" s="35">
        <f>34000</f>
        <v>34000</v>
      </c>
      <c r="AC144" s="35"/>
    </row>
    <row r="145" spans="1:29" s="1" customFormat="1" ht="13.5" customHeight="1">
      <c r="A145" s="31" t="s">
        <v>129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93</v>
      </c>
      <c r="M145" s="32"/>
      <c r="N145" s="32"/>
      <c r="O145" s="32" t="s">
        <v>195</v>
      </c>
      <c r="P145" s="32"/>
      <c r="Q145" s="32"/>
      <c r="R145" s="33" t="s">
        <v>130</v>
      </c>
      <c r="S145" s="33"/>
      <c r="T145" s="34">
        <f>55000</f>
        <v>55000</v>
      </c>
      <c r="U145" s="34"/>
      <c r="V145" s="34"/>
      <c r="W145" s="34">
        <f>33000</f>
        <v>33000</v>
      </c>
      <c r="X145" s="34"/>
      <c r="Y145" s="34"/>
      <c r="Z145" s="34"/>
      <c r="AA145" s="34"/>
      <c r="AB145" s="35">
        <f>22000</f>
        <v>22000</v>
      </c>
      <c r="AC145" s="35"/>
    </row>
    <row r="146" spans="1:29" s="1" customFormat="1" ht="13.5" customHeight="1">
      <c r="A146" s="31" t="s">
        <v>131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93</v>
      </c>
      <c r="M146" s="32"/>
      <c r="N146" s="32"/>
      <c r="O146" s="32" t="s">
        <v>196</v>
      </c>
      <c r="P146" s="32"/>
      <c r="Q146" s="32"/>
      <c r="R146" s="33" t="s">
        <v>133</v>
      </c>
      <c r="S146" s="33"/>
      <c r="T146" s="34">
        <f>25500</f>
        <v>25500</v>
      </c>
      <c r="U146" s="34"/>
      <c r="V146" s="34"/>
      <c r="W146" s="34">
        <f>3500</f>
        <v>3500</v>
      </c>
      <c r="X146" s="34"/>
      <c r="Y146" s="34"/>
      <c r="Z146" s="34"/>
      <c r="AA146" s="34"/>
      <c r="AB146" s="35">
        <f>22000</f>
        <v>22000</v>
      </c>
      <c r="AC146" s="35"/>
    </row>
    <row r="147" spans="1:29" s="1" customFormat="1" ht="13.5" customHeight="1">
      <c r="A147" s="31" t="s">
        <v>131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93</v>
      </c>
      <c r="M147" s="32"/>
      <c r="N147" s="32"/>
      <c r="O147" s="32" t="s">
        <v>197</v>
      </c>
      <c r="P147" s="32"/>
      <c r="Q147" s="32"/>
      <c r="R147" s="33" t="s">
        <v>133</v>
      </c>
      <c r="S147" s="33"/>
      <c r="T147" s="34">
        <f>15000</f>
        <v>15000</v>
      </c>
      <c r="U147" s="34"/>
      <c r="V147" s="34"/>
      <c r="W147" s="34">
        <f>4000</f>
        <v>4000</v>
      </c>
      <c r="X147" s="34"/>
      <c r="Y147" s="34"/>
      <c r="Z147" s="34"/>
      <c r="AA147" s="34"/>
      <c r="AB147" s="35">
        <f>11000</f>
        <v>11000</v>
      </c>
      <c r="AC147" s="35"/>
    </row>
    <row r="148" spans="1:29" s="1" customFormat="1" ht="13.5" customHeight="1">
      <c r="A148" s="31" t="s">
        <v>198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93</v>
      </c>
      <c r="M148" s="32"/>
      <c r="N148" s="32"/>
      <c r="O148" s="32" t="s">
        <v>199</v>
      </c>
      <c r="P148" s="32"/>
      <c r="Q148" s="32"/>
      <c r="R148" s="33" t="s">
        <v>200</v>
      </c>
      <c r="S148" s="33"/>
      <c r="T148" s="34">
        <f>45000</f>
        <v>45000</v>
      </c>
      <c r="U148" s="34"/>
      <c r="V148" s="34"/>
      <c r="W148" s="34">
        <f>0</f>
        <v>0</v>
      </c>
      <c r="X148" s="34"/>
      <c r="Y148" s="34"/>
      <c r="Z148" s="34"/>
      <c r="AA148" s="34"/>
      <c r="AB148" s="35">
        <f>45000</f>
        <v>45000</v>
      </c>
      <c r="AC148" s="35"/>
    </row>
    <row r="149" spans="1:29" s="1" customFormat="1" ht="13.5" customHeight="1">
      <c r="A149" s="31" t="s">
        <v>108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93</v>
      </c>
      <c r="M149" s="32"/>
      <c r="N149" s="32"/>
      <c r="O149" s="32" t="s">
        <v>199</v>
      </c>
      <c r="P149" s="32"/>
      <c r="Q149" s="32"/>
      <c r="R149" s="33" t="s">
        <v>110</v>
      </c>
      <c r="S149" s="33"/>
      <c r="T149" s="34">
        <f>28026</f>
        <v>28026</v>
      </c>
      <c r="U149" s="34"/>
      <c r="V149" s="34"/>
      <c r="W149" s="34">
        <f>28026</f>
        <v>28026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127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93</v>
      </c>
      <c r="M150" s="32"/>
      <c r="N150" s="32"/>
      <c r="O150" s="32" t="s">
        <v>199</v>
      </c>
      <c r="P150" s="32"/>
      <c r="Q150" s="32"/>
      <c r="R150" s="33" t="s">
        <v>128</v>
      </c>
      <c r="S150" s="33"/>
      <c r="T150" s="34">
        <f>15000</f>
        <v>15000</v>
      </c>
      <c r="U150" s="34"/>
      <c r="V150" s="34"/>
      <c r="W150" s="34">
        <f>15000</f>
        <v>15000</v>
      </c>
      <c r="X150" s="34"/>
      <c r="Y150" s="34"/>
      <c r="Z150" s="34"/>
      <c r="AA150" s="34"/>
      <c r="AB150" s="35">
        <f>0</f>
        <v>0</v>
      </c>
      <c r="AC150" s="35"/>
    </row>
    <row r="151" spans="1:29" s="1" customFormat="1" ht="13.5" customHeight="1">
      <c r="A151" s="31" t="s">
        <v>129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93</v>
      </c>
      <c r="M151" s="32"/>
      <c r="N151" s="32"/>
      <c r="O151" s="32" t="s">
        <v>199</v>
      </c>
      <c r="P151" s="32"/>
      <c r="Q151" s="32"/>
      <c r="R151" s="33" t="s">
        <v>130</v>
      </c>
      <c r="S151" s="33"/>
      <c r="T151" s="34">
        <f>56974</f>
        <v>56974</v>
      </c>
      <c r="U151" s="34"/>
      <c r="V151" s="34"/>
      <c r="W151" s="34">
        <f>56974</f>
        <v>56974</v>
      </c>
      <c r="X151" s="34"/>
      <c r="Y151" s="34"/>
      <c r="Z151" s="34"/>
      <c r="AA151" s="34"/>
      <c r="AB151" s="35">
        <f>0</f>
        <v>0</v>
      </c>
      <c r="AC151" s="35"/>
    </row>
    <row r="152" spans="1:29" s="1" customFormat="1" ht="13.5" customHeight="1">
      <c r="A152" s="31" t="s">
        <v>94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93</v>
      </c>
      <c r="M152" s="32"/>
      <c r="N152" s="32"/>
      <c r="O152" s="32" t="s">
        <v>201</v>
      </c>
      <c r="P152" s="32"/>
      <c r="Q152" s="32"/>
      <c r="R152" s="33" t="s">
        <v>96</v>
      </c>
      <c r="S152" s="33"/>
      <c r="T152" s="34">
        <f>3351689.71</f>
        <v>3351689.71</v>
      </c>
      <c r="U152" s="34"/>
      <c r="V152" s="34"/>
      <c r="W152" s="34">
        <f>1117216</f>
        <v>1117216</v>
      </c>
      <c r="X152" s="34"/>
      <c r="Y152" s="34"/>
      <c r="Z152" s="34"/>
      <c r="AA152" s="34"/>
      <c r="AB152" s="35">
        <f>2234473.71</f>
        <v>2234473.71</v>
      </c>
      <c r="AC152" s="35"/>
    </row>
    <row r="153" spans="1:29" s="1" customFormat="1" ht="13.5" customHeight="1">
      <c r="A153" s="31" t="s">
        <v>97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93</v>
      </c>
      <c r="M153" s="32"/>
      <c r="N153" s="32"/>
      <c r="O153" s="32" t="s">
        <v>202</v>
      </c>
      <c r="P153" s="32"/>
      <c r="Q153" s="32"/>
      <c r="R153" s="33" t="s">
        <v>99</v>
      </c>
      <c r="S153" s="33"/>
      <c r="T153" s="34">
        <f>1012210.29</f>
        <v>1012210.29</v>
      </c>
      <c r="U153" s="34"/>
      <c r="V153" s="34"/>
      <c r="W153" s="34">
        <f>337400</f>
        <v>337400</v>
      </c>
      <c r="X153" s="34"/>
      <c r="Y153" s="34"/>
      <c r="Z153" s="34"/>
      <c r="AA153" s="34"/>
      <c r="AB153" s="35">
        <f>674810.29</f>
        <v>674810.29</v>
      </c>
      <c r="AC153" s="35"/>
    </row>
    <row r="154" spans="1:29" s="1" customFormat="1" ht="13.5" customHeight="1">
      <c r="A154" s="31" t="s">
        <v>94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93</v>
      </c>
      <c r="M154" s="32"/>
      <c r="N154" s="32"/>
      <c r="O154" s="32" t="s">
        <v>203</v>
      </c>
      <c r="P154" s="32"/>
      <c r="Q154" s="32"/>
      <c r="R154" s="33" t="s">
        <v>96</v>
      </c>
      <c r="S154" s="33"/>
      <c r="T154" s="34">
        <f>372409.97</f>
        <v>372409.97</v>
      </c>
      <c r="U154" s="34"/>
      <c r="V154" s="34"/>
      <c r="W154" s="36" t="s">
        <v>53</v>
      </c>
      <c r="X154" s="36"/>
      <c r="Y154" s="36"/>
      <c r="Z154" s="36"/>
      <c r="AA154" s="36"/>
      <c r="AB154" s="35">
        <f>372409.97</f>
        <v>372409.97</v>
      </c>
      <c r="AC154" s="35"/>
    </row>
    <row r="155" spans="1:29" s="1" customFormat="1" ht="13.5" customHeight="1">
      <c r="A155" s="31" t="s">
        <v>97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93</v>
      </c>
      <c r="M155" s="32"/>
      <c r="N155" s="32"/>
      <c r="O155" s="32" t="s">
        <v>204</v>
      </c>
      <c r="P155" s="32"/>
      <c r="Q155" s="32"/>
      <c r="R155" s="33" t="s">
        <v>99</v>
      </c>
      <c r="S155" s="33"/>
      <c r="T155" s="34">
        <f>112467.81</f>
        <v>112467.81</v>
      </c>
      <c r="U155" s="34"/>
      <c r="V155" s="34"/>
      <c r="W155" s="36" t="s">
        <v>53</v>
      </c>
      <c r="X155" s="36"/>
      <c r="Y155" s="36"/>
      <c r="Z155" s="36"/>
      <c r="AA155" s="36"/>
      <c r="AB155" s="35">
        <f>112467.81</f>
        <v>112467.81</v>
      </c>
      <c r="AC155" s="35"/>
    </row>
    <row r="156" spans="1:29" s="1" customFormat="1" ht="24" customHeight="1">
      <c r="A156" s="31" t="s">
        <v>205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93</v>
      </c>
      <c r="M156" s="32"/>
      <c r="N156" s="32"/>
      <c r="O156" s="32" t="s">
        <v>206</v>
      </c>
      <c r="P156" s="32"/>
      <c r="Q156" s="32"/>
      <c r="R156" s="33" t="s">
        <v>207</v>
      </c>
      <c r="S156" s="33"/>
      <c r="T156" s="34">
        <f>216000</f>
        <v>216000</v>
      </c>
      <c r="U156" s="34"/>
      <c r="V156" s="34"/>
      <c r="W156" s="34">
        <f>90000</f>
        <v>90000</v>
      </c>
      <c r="X156" s="34"/>
      <c r="Y156" s="34"/>
      <c r="Z156" s="34"/>
      <c r="AA156" s="34"/>
      <c r="AB156" s="35">
        <f>126000</f>
        <v>126000</v>
      </c>
      <c r="AC156" s="35"/>
    </row>
    <row r="157" spans="1:29" s="1" customFormat="1" ht="13.5" customHeight="1">
      <c r="A157" s="31" t="s">
        <v>108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93</v>
      </c>
      <c r="M157" s="32"/>
      <c r="N157" s="32"/>
      <c r="O157" s="32" t="s">
        <v>208</v>
      </c>
      <c r="P157" s="32"/>
      <c r="Q157" s="32"/>
      <c r="R157" s="33" t="s">
        <v>110</v>
      </c>
      <c r="S157" s="33"/>
      <c r="T157" s="34">
        <f>30000</f>
        <v>30000</v>
      </c>
      <c r="U157" s="34"/>
      <c r="V157" s="34"/>
      <c r="W157" s="34">
        <f>7000</f>
        <v>7000</v>
      </c>
      <c r="X157" s="34"/>
      <c r="Y157" s="34"/>
      <c r="Z157" s="34"/>
      <c r="AA157" s="34"/>
      <c r="AB157" s="35">
        <f>23000</f>
        <v>23000</v>
      </c>
      <c r="AC157" s="35"/>
    </row>
    <row r="158" spans="1:29" s="1" customFormat="1" ht="13.5" customHeight="1">
      <c r="A158" s="31" t="s">
        <v>114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93</v>
      </c>
      <c r="M158" s="32"/>
      <c r="N158" s="32"/>
      <c r="O158" s="32" t="s">
        <v>209</v>
      </c>
      <c r="P158" s="32"/>
      <c r="Q158" s="32"/>
      <c r="R158" s="33" t="s">
        <v>116</v>
      </c>
      <c r="S158" s="33"/>
      <c r="T158" s="34">
        <f>80000</f>
        <v>80000</v>
      </c>
      <c r="U158" s="34"/>
      <c r="V158" s="34"/>
      <c r="W158" s="34">
        <f>41434.8</f>
        <v>41434.8</v>
      </c>
      <c r="X158" s="34"/>
      <c r="Y158" s="34"/>
      <c r="Z158" s="34"/>
      <c r="AA158" s="34"/>
      <c r="AB158" s="35">
        <f>38565.2</f>
        <v>38565.2</v>
      </c>
      <c r="AC158" s="35"/>
    </row>
    <row r="159" spans="1:29" s="1" customFormat="1" ht="15" customHeight="1">
      <c r="A159" s="37" t="s">
        <v>210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8" t="s">
        <v>211</v>
      </c>
      <c r="M159" s="38"/>
      <c r="N159" s="38"/>
      <c r="O159" s="38" t="s">
        <v>36</v>
      </c>
      <c r="P159" s="38"/>
      <c r="Q159" s="38"/>
      <c r="R159" s="39" t="s">
        <v>36</v>
      </c>
      <c r="S159" s="39"/>
      <c r="T159" s="40">
        <f>-2247790.04</f>
        <v>-2247790.04</v>
      </c>
      <c r="U159" s="40"/>
      <c r="V159" s="40"/>
      <c r="W159" s="40">
        <f>514703.26</f>
        <v>514703.26</v>
      </c>
      <c r="X159" s="40"/>
      <c r="Y159" s="40"/>
      <c r="Z159" s="40"/>
      <c r="AA159" s="40"/>
      <c r="AB159" s="41" t="s">
        <v>36</v>
      </c>
      <c r="AC159" s="41"/>
    </row>
    <row r="160" spans="1:29" s="1" customFormat="1" ht="13.5" customHeight="1">
      <c r="A160" s="7" t="s">
        <v>10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s="1" customFormat="1" ht="13.5" customHeight="1">
      <c r="A161" s="12" t="s">
        <v>212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</row>
    <row r="162" spans="1:29" s="1" customFormat="1" ht="45.75" customHeight="1">
      <c r="A162" s="13" t="s">
        <v>22</v>
      </c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 t="s">
        <v>23</v>
      </c>
      <c r="N162" s="13"/>
      <c r="O162" s="13"/>
      <c r="P162" s="13" t="s">
        <v>213</v>
      </c>
      <c r="Q162" s="13"/>
      <c r="R162" s="13"/>
      <c r="S162" s="14" t="s">
        <v>25</v>
      </c>
      <c r="T162" s="14"/>
      <c r="U162" s="14"/>
      <c r="V162" s="14" t="s">
        <v>26</v>
      </c>
      <c r="W162" s="14"/>
      <c r="X162" s="14"/>
      <c r="Y162" s="14"/>
      <c r="Z162" s="14"/>
      <c r="AA162" s="15" t="s">
        <v>27</v>
      </c>
      <c r="AB162" s="15"/>
      <c r="AC162" s="15"/>
    </row>
    <row r="163" spans="1:29" s="1" customFormat="1" ht="12.75" customHeight="1">
      <c r="A163" s="16" t="s">
        <v>28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 t="s">
        <v>29</v>
      </c>
      <c r="N163" s="16"/>
      <c r="O163" s="16"/>
      <c r="P163" s="16" t="s">
        <v>30</v>
      </c>
      <c r="Q163" s="16"/>
      <c r="R163" s="16"/>
      <c r="S163" s="17" t="s">
        <v>31</v>
      </c>
      <c r="T163" s="17"/>
      <c r="U163" s="17"/>
      <c r="V163" s="17" t="s">
        <v>32</v>
      </c>
      <c r="W163" s="17"/>
      <c r="X163" s="17"/>
      <c r="Y163" s="17"/>
      <c r="Z163" s="17"/>
      <c r="AA163" s="18" t="s">
        <v>33</v>
      </c>
      <c r="AB163" s="18"/>
      <c r="AC163" s="18"/>
    </row>
    <row r="164" spans="1:29" s="1" customFormat="1" ht="13.5" customHeight="1">
      <c r="A164" s="19" t="s">
        <v>214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0" t="s">
        <v>215</v>
      </c>
      <c r="N164" s="20"/>
      <c r="O164" s="20"/>
      <c r="P164" s="20" t="s">
        <v>36</v>
      </c>
      <c r="Q164" s="20"/>
      <c r="R164" s="20"/>
      <c r="S164" s="42">
        <f>2247790.04</f>
        <v>2247790.04</v>
      </c>
      <c r="T164" s="42"/>
      <c r="U164" s="42"/>
      <c r="V164" s="21">
        <f>-514703.26</f>
        <v>-514703.26</v>
      </c>
      <c r="W164" s="21"/>
      <c r="X164" s="21"/>
      <c r="Y164" s="21"/>
      <c r="Z164" s="21"/>
      <c r="AA164" s="43" t="s">
        <v>36</v>
      </c>
      <c r="AB164" s="43"/>
      <c r="AC164" s="43"/>
    </row>
    <row r="165" spans="1:29" s="1" customFormat="1" ht="13.5" customHeight="1">
      <c r="A165" s="44" t="s">
        <v>216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5" t="s">
        <v>10</v>
      </c>
      <c r="N165" s="45"/>
      <c r="O165" s="45"/>
      <c r="P165" s="45" t="s">
        <v>10</v>
      </c>
      <c r="Q165" s="45"/>
      <c r="R165" s="45"/>
      <c r="S165" s="46" t="s">
        <v>10</v>
      </c>
      <c r="T165" s="46"/>
      <c r="U165" s="46"/>
      <c r="V165" s="47" t="s">
        <v>10</v>
      </c>
      <c r="W165" s="47"/>
      <c r="X165" s="47"/>
      <c r="Y165" s="47"/>
      <c r="Z165" s="47"/>
      <c r="AA165" s="48" t="s">
        <v>10</v>
      </c>
      <c r="AB165" s="48"/>
      <c r="AC165" s="48"/>
    </row>
    <row r="166" spans="1:29" s="1" customFormat="1" ht="13.5" customHeight="1">
      <c r="A166" s="23" t="s">
        <v>217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49" t="s">
        <v>218</v>
      </c>
      <c r="N166" s="49"/>
      <c r="O166" s="49"/>
      <c r="P166" s="24" t="s">
        <v>36</v>
      </c>
      <c r="Q166" s="24"/>
      <c r="R166" s="24"/>
      <c r="S166" s="50" t="s">
        <v>53</v>
      </c>
      <c r="T166" s="50"/>
      <c r="U166" s="50"/>
      <c r="V166" s="27" t="s">
        <v>53</v>
      </c>
      <c r="W166" s="27"/>
      <c r="X166" s="27"/>
      <c r="Y166" s="27"/>
      <c r="Z166" s="27"/>
      <c r="AA166" s="51" t="s">
        <v>53</v>
      </c>
      <c r="AB166" s="51"/>
      <c r="AC166" s="51"/>
    </row>
    <row r="167" spans="1:29" s="1" customFormat="1" ht="13.5" customHeight="1">
      <c r="A167" s="33" t="s">
        <v>10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</row>
    <row r="168" spans="1:29" s="1" customFormat="1" ht="13.5" customHeight="1">
      <c r="A168" s="31" t="s">
        <v>219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45" t="s">
        <v>220</v>
      </c>
      <c r="N168" s="45"/>
      <c r="O168" s="45"/>
      <c r="P168" s="45" t="s">
        <v>36</v>
      </c>
      <c r="Q168" s="45"/>
      <c r="R168" s="45"/>
      <c r="S168" s="46" t="s">
        <v>53</v>
      </c>
      <c r="T168" s="46"/>
      <c r="U168" s="46"/>
      <c r="V168" s="36" t="s">
        <v>53</v>
      </c>
      <c r="W168" s="36"/>
      <c r="X168" s="36"/>
      <c r="Y168" s="36"/>
      <c r="Z168" s="36"/>
      <c r="AA168" s="48" t="s">
        <v>53</v>
      </c>
      <c r="AB168" s="48"/>
      <c r="AC168" s="48"/>
    </row>
    <row r="169" spans="1:29" s="1" customFormat="1" ht="13.5" customHeight="1">
      <c r="A169" s="31" t="s">
        <v>10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2" t="s">
        <v>220</v>
      </c>
      <c r="N169" s="32"/>
      <c r="O169" s="32"/>
      <c r="P169" s="32" t="s">
        <v>10</v>
      </c>
      <c r="Q169" s="32"/>
      <c r="R169" s="32"/>
      <c r="S169" s="52" t="s">
        <v>53</v>
      </c>
      <c r="T169" s="52"/>
      <c r="U169" s="52"/>
      <c r="V169" s="36" t="s">
        <v>53</v>
      </c>
      <c r="W169" s="36"/>
      <c r="X169" s="36"/>
      <c r="Y169" s="36"/>
      <c r="Z169" s="36"/>
      <c r="AA169" s="53" t="s">
        <v>53</v>
      </c>
      <c r="AB169" s="53"/>
      <c r="AC169" s="53"/>
    </row>
    <row r="170" spans="1:29" s="1" customFormat="1" ht="13.5" customHeight="1">
      <c r="A170" s="31" t="s">
        <v>221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2" t="s">
        <v>222</v>
      </c>
      <c r="N170" s="32"/>
      <c r="O170" s="32"/>
      <c r="P170" s="32" t="s">
        <v>223</v>
      </c>
      <c r="Q170" s="32"/>
      <c r="R170" s="32"/>
      <c r="S170" s="54">
        <f>2247790.04</f>
        <v>2247790.04</v>
      </c>
      <c r="T170" s="54"/>
      <c r="U170" s="54"/>
      <c r="V170" s="34">
        <f>-514703.26</f>
        <v>-514703.26</v>
      </c>
      <c r="W170" s="34"/>
      <c r="X170" s="34"/>
      <c r="Y170" s="34"/>
      <c r="Z170" s="34"/>
      <c r="AA170" s="55">
        <f>2762493.3</f>
        <v>2762493.3</v>
      </c>
      <c r="AB170" s="55"/>
      <c r="AC170" s="55"/>
    </row>
    <row r="171" spans="1:29" s="1" customFormat="1" ht="13.5" customHeight="1">
      <c r="A171" s="31" t="s">
        <v>224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2" t="s">
        <v>225</v>
      </c>
      <c r="N171" s="32"/>
      <c r="O171" s="32"/>
      <c r="P171" s="32" t="s">
        <v>226</v>
      </c>
      <c r="Q171" s="32"/>
      <c r="R171" s="32"/>
      <c r="S171" s="54">
        <f>-66989275.02</f>
        <v>-66989275.02</v>
      </c>
      <c r="T171" s="54"/>
      <c r="U171" s="54"/>
      <c r="V171" s="34">
        <f>-16452461.99</f>
        <v>-16452461.99</v>
      </c>
      <c r="W171" s="34"/>
      <c r="X171" s="34"/>
      <c r="Y171" s="34"/>
      <c r="Z171" s="34"/>
      <c r="AA171" s="56" t="s">
        <v>36</v>
      </c>
      <c r="AB171" s="56"/>
      <c r="AC171" s="56"/>
    </row>
    <row r="172" spans="1:29" s="1" customFormat="1" ht="13.5" customHeight="1">
      <c r="A172" s="31" t="s">
        <v>227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2" t="s">
        <v>228</v>
      </c>
      <c r="N172" s="32"/>
      <c r="O172" s="32"/>
      <c r="P172" s="32" t="s">
        <v>229</v>
      </c>
      <c r="Q172" s="32"/>
      <c r="R172" s="32"/>
      <c r="S172" s="54">
        <f>69237065.06</f>
        <v>69237065.06</v>
      </c>
      <c r="T172" s="54"/>
      <c r="U172" s="54"/>
      <c r="V172" s="34">
        <f>15937758.73</f>
        <v>15937758.73</v>
      </c>
      <c r="W172" s="34"/>
      <c r="X172" s="34"/>
      <c r="Y172" s="34"/>
      <c r="Z172" s="34"/>
      <c r="AA172" s="56" t="s">
        <v>36</v>
      </c>
      <c r="AB172" s="56"/>
      <c r="AC172" s="56"/>
    </row>
    <row r="173" spans="1:29" s="1" customFormat="1" ht="13.5" customHeight="1">
      <c r="A173" s="58" t="s">
        <v>10</v>
      </c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1:29" s="1" customFormat="1" ht="13.5" customHeight="1">
      <c r="A174" s="7" t="s">
        <v>230</v>
      </c>
      <c r="B174" s="7"/>
      <c r="C174" s="7"/>
      <c r="D174" s="7"/>
      <c r="E174" s="7"/>
      <c r="F174" s="7"/>
      <c r="G174" s="7"/>
      <c r="H174" s="7"/>
      <c r="I174" s="57" t="s">
        <v>10</v>
      </c>
      <c r="J174" s="57"/>
      <c r="K174" s="57"/>
      <c r="L174" s="57"/>
      <c r="M174" s="57"/>
      <c r="N174" s="57"/>
      <c r="O174" s="57"/>
      <c r="P174" s="57" t="s">
        <v>231</v>
      </c>
      <c r="Q174" s="57"/>
      <c r="R174" s="57"/>
      <c r="S174" s="57"/>
      <c r="T174" s="57"/>
      <c r="U174" s="7" t="s">
        <v>10</v>
      </c>
      <c r="V174" s="7"/>
      <c r="W174" s="7"/>
      <c r="X174" s="7"/>
      <c r="Y174" s="7"/>
      <c r="Z174" s="7"/>
      <c r="AA174" s="7"/>
      <c r="AB174" s="7"/>
      <c r="AC174" s="7"/>
    </row>
    <row r="175" spans="1:29" s="1" customFormat="1" ht="13.5" customHeight="1">
      <c r="A175" s="7" t="s">
        <v>10</v>
      </c>
      <c r="B175" s="7"/>
      <c r="C175" s="7"/>
      <c r="D175" s="7"/>
      <c r="E175" s="7"/>
      <c r="F175" s="7"/>
      <c r="G175" s="7"/>
      <c r="H175" s="7"/>
      <c r="I175" s="10" t="s">
        <v>10</v>
      </c>
      <c r="J175" s="59" t="s">
        <v>232</v>
      </c>
      <c r="K175" s="59"/>
      <c r="L175" s="59"/>
      <c r="M175" s="59"/>
      <c r="N175" s="7" t="s">
        <v>10</v>
      </c>
      <c r="O175" s="7"/>
      <c r="P175" s="10" t="s">
        <v>10</v>
      </c>
      <c r="Q175" s="59" t="s">
        <v>233</v>
      </c>
      <c r="R175" s="59"/>
      <c r="S175" s="59"/>
      <c r="T175" s="7" t="s">
        <v>10</v>
      </c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s="1" customFormat="1" ht="7.5" customHeight="1">
      <c r="A176" s="7" t="s">
        <v>10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s="1" customFormat="1" ht="13.5" customHeight="1">
      <c r="A177" s="7" t="s">
        <v>234</v>
      </c>
      <c r="B177" s="7"/>
      <c r="C177" s="7"/>
      <c r="D177" s="7"/>
      <c r="E177" s="7"/>
      <c r="F177" s="7"/>
      <c r="G177" s="7"/>
      <c r="H177" s="7"/>
      <c r="I177" s="57" t="s">
        <v>10</v>
      </c>
      <c r="J177" s="57"/>
      <c r="K177" s="57"/>
      <c r="L177" s="57"/>
      <c r="M177" s="57"/>
      <c r="N177" s="57"/>
      <c r="O177" s="57"/>
      <c r="P177" s="57" t="s">
        <v>235</v>
      </c>
      <c r="Q177" s="57"/>
      <c r="R177" s="57"/>
      <c r="S177" s="57"/>
      <c r="T177" s="57"/>
      <c r="U177" s="7" t="s">
        <v>10</v>
      </c>
      <c r="V177" s="7"/>
      <c r="W177" s="7"/>
      <c r="X177" s="7"/>
      <c r="Y177" s="7"/>
      <c r="Z177" s="7"/>
      <c r="AA177" s="7"/>
      <c r="AB177" s="7"/>
      <c r="AC177" s="7"/>
    </row>
    <row r="178" spans="1:29" s="1" customFormat="1" ht="13.5" customHeight="1">
      <c r="A178" s="7" t="s">
        <v>10</v>
      </c>
      <c r="B178" s="7"/>
      <c r="C178" s="7"/>
      <c r="D178" s="7"/>
      <c r="E178" s="7"/>
      <c r="F178" s="7"/>
      <c r="G178" s="7"/>
      <c r="H178" s="7"/>
      <c r="I178" s="10" t="s">
        <v>10</v>
      </c>
      <c r="J178" s="59" t="s">
        <v>232</v>
      </c>
      <c r="K178" s="59"/>
      <c r="L178" s="59"/>
      <c r="M178" s="59"/>
      <c r="N178" s="7" t="s">
        <v>10</v>
      </c>
      <c r="O178" s="7"/>
      <c r="P178" s="10" t="s">
        <v>10</v>
      </c>
      <c r="Q178" s="59" t="s">
        <v>233</v>
      </c>
      <c r="R178" s="59"/>
      <c r="S178" s="59"/>
      <c r="T178" s="7" t="s">
        <v>10</v>
      </c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s="1" customFormat="1" ht="7.5" customHeight="1">
      <c r="A179" s="7" t="s">
        <v>10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s="1" customFormat="1" ht="13.5" customHeight="1">
      <c r="A180" s="7" t="s">
        <v>236</v>
      </c>
      <c r="B180" s="7"/>
      <c r="C180" s="57" t="s">
        <v>237</v>
      </c>
      <c r="D180" s="57"/>
      <c r="E180" s="57"/>
      <c r="F180" s="57"/>
      <c r="G180" s="57"/>
      <c r="H180" s="57"/>
      <c r="I180" s="57" t="s">
        <v>10</v>
      </c>
      <c r="J180" s="57"/>
      <c r="K180" s="57"/>
      <c r="L180" s="57"/>
      <c r="M180" s="57"/>
      <c r="N180" s="57"/>
      <c r="O180" s="57"/>
      <c r="P180" s="57" t="s">
        <v>238</v>
      </c>
      <c r="Q180" s="57"/>
      <c r="R180" s="57"/>
      <c r="S180" s="57"/>
      <c r="T180" s="57"/>
      <c r="U180" s="7" t="s">
        <v>10</v>
      </c>
      <c r="V180" s="7"/>
      <c r="W180" s="7"/>
      <c r="X180" s="7"/>
      <c r="Y180" s="7"/>
      <c r="Z180" s="7"/>
      <c r="AA180" s="7"/>
      <c r="AB180" s="7"/>
      <c r="AC180" s="7"/>
    </row>
    <row r="181" spans="1:29" s="1" customFormat="1" ht="13.5" customHeight="1">
      <c r="A181" s="7" t="s">
        <v>10</v>
      </c>
      <c r="B181" s="7"/>
      <c r="C181" s="10" t="s">
        <v>10</v>
      </c>
      <c r="D181" s="59" t="s">
        <v>239</v>
      </c>
      <c r="E181" s="59"/>
      <c r="F181" s="59"/>
      <c r="G181" s="59"/>
      <c r="H181" s="10" t="s">
        <v>10</v>
      </c>
      <c r="I181" s="10" t="s">
        <v>10</v>
      </c>
      <c r="J181" s="59" t="s">
        <v>232</v>
      </c>
      <c r="K181" s="59"/>
      <c r="L181" s="59"/>
      <c r="M181" s="59"/>
      <c r="N181" s="7" t="s">
        <v>10</v>
      </c>
      <c r="O181" s="7"/>
      <c r="P181" s="10" t="s">
        <v>10</v>
      </c>
      <c r="Q181" s="59" t="s">
        <v>233</v>
      </c>
      <c r="R181" s="59"/>
      <c r="S181" s="59"/>
      <c r="T181" s="7" t="s">
        <v>10</v>
      </c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s="1" customFormat="1" ht="15.75" customHeight="1">
      <c r="A182" s="7" t="s">
        <v>10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13.5" customHeight="1">
      <c r="A183" s="60" t="s">
        <v>240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7" t="s">
        <v>10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13.5" customHeight="1">
      <c r="A184" s="4" t="s">
        <v>241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</sheetData>
  <sheetProtection/>
  <mergeCells count="1125">
    <mergeCell ref="A182:AC182"/>
    <mergeCell ref="A183:J183"/>
    <mergeCell ref="K183:AC183"/>
    <mergeCell ref="A184:AC184"/>
    <mergeCell ref="A181:B181"/>
    <mergeCell ref="D181:G181"/>
    <mergeCell ref="J181:M181"/>
    <mergeCell ref="N181:O181"/>
    <mergeCell ref="Q181:S181"/>
    <mergeCell ref="T181:AC181"/>
    <mergeCell ref="A179:AC179"/>
    <mergeCell ref="A180:B180"/>
    <mergeCell ref="C180:H180"/>
    <mergeCell ref="I180:O180"/>
    <mergeCell ref="P180:T180"/>
    <mergeCell ref="U180:AC180"/>
    <mergeCell ref="A176:AC176"/>
    <mergeCell ref="A177:H177"/>
    <mergeCell ref="I177:O177"/>
    <mergeCell ref="P177:T177"/>
    <mergeCell ref="U177:AC177"/>
    <mergeCell ref="A178:H178"/>
    <mergeCell ref="J178:M178"/>
    <mergeCell ref="N178:O178"/>
    <mergeCell ref="Q178:S178"/>
    <mergeCell ref="T178:AC178"/>
    <mergeCell ref="A173:AC173"/>
    <mergeCell ref="A174:H174"/>
    <mergeCell ref="I174:O174"/>
    <mergeCell ref="P174:T174"/>
    <mergeCell ref="U174:AC174"/>
    <mergeCell ref="A175:H175"/>
    <mergeCell ref="J175:M175"/>
    <mergeCell ref="N175:O175"/>
    <mergeCell ref="Q175:S175"/>
    <mergeCell ref="T175:AC175"/>
    <mergeCell ref="A172:L172"/>
    <mergeCell ref="M172:O172"/>
    <mergeCell ref="P172:R172"/>
    <mergeCell ref="S172:U172"/>
    <mergeCell ref="V172:Z172"/>
    <mergeCell ref="AA172:AC172"/>
    <mergeCell ref="A171:L171"/>
    <mergeCell ref="M171:O171"/>
    <mergeCell ref="P171:R171"/>
    <mergeCell ref="S171:U171"/>
    <mergeCell ref="V171:Z171"/>
    <mergeCell ref="AA171:AC171"/>
    <mergeCell ref="A170:L170"/>
    <mergeCell ref="M170:O170"/>
    <mergeCell ref="P170:R170"/>
    <mergeCell ref="S170:U170"/>
    <mergeCell ref="V170:Z170"/>
    <mergeCell ref="AA170:AC170"/>
    <mergeCell ref="A169:L169"/>
    <mergeCell ref="M169:O169"/>
    <mergeCell ref="P169:R169"/>
    <mergeCell ref="S169:U169"/>
    <mergeCell ref="V169:Z169"/>
    <mergeCell ref="AA169:AC169"/>
    <mergeCell ref="A167:AC167"/>
    <mergeCell ref="A168:L168"/>
    <mergeCell ref="M168:O168"/>
    <mergeCell ref="P168:R168"/>
    <mergeCell ref="S168:U168"/>
    <mergeCell ref="V168:Z168"/>
    <mergeCell ref="AA168:AC168"/>
    <mergeCell ref="A166:L166"/>
    <mergeCell ref="M166:O166"/>
    <mergeCell ref="P166:R166"/>
    <mergeCell ref="S166:U166"/>
    <mergeCell ref="V166:Z166"/>
    <mergeCell ref="AA166:AC166"/>
    <mergeCell ref="A165:L165"/>
    <mergeCell ref="M165:O165"/>
    <mergeCell ref="P165:R165"/>
    <mergeCell ref="S165:U165"/>
    <mergeCell ref="V165:Z165"/>
    <mergeCell ref="AA165:AC165"/>
    <mergeCell ref="A164:L164"/>
    <mergeCell ref="M164:O164"/>
    <mergeCell ref="P164:R164"/>
    <mergeCell ref="S164:U164"/>
    <mergeCell ref="V164:Z164"/>
    <mergeCell ref="AA164:AC164"/>
    <mergeCell ref="A163:L163"/>
    <mergeCell ref="M163:O163"/>
    <mergeCell ref="P163:R163"/>
    <mergeCell ref="S163:U163"/>
    <mergeCell ref="V163:Z163"/>
    <mergeCell ref="AA163:AC163"/>
    <mergeCell ref="AB159:AC159"/>
    <mergeCell ref="A160:AC160"/>
    <mergeCell ref="A161:AC161"/>
    <mergeCell ref="A162:L162"/>
    <mergeCell ref="M162:O162"/>
    <mergeCell ref="P162:R162"/>
    <mergeCell ref="S162:U162"/>
    <mergeCell ref="V162:Z162"/>
    <mergeCell ref="AA162:AC162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6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2018-06-28T08:17:07Z</dcterms:created>
  <dcterms:modified xsi:type="dcterms:W3CDTF">2018-06-28T08:17:07Z</dcterms:modified>
  <cp:category/>
  <cp:version/>
  <cp:contentType/>
  <cp:contentStatus/>
</cp:coreProperties>
</file>