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<sst xmlns="http://schemas.openxmlformats.org/spreadsheetml/2006/main" count="684" uniqueCount="239">
  <si>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</si>
  <si>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</si>
  <si>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</si>
  <si>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</si>
  <si>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</si>
  <si>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</si>
  <si>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</si>
  <si>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</si>
  <si>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</si>
  <si>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</si>
  <si>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</si>
  <si>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</si>
  <si>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</si>
  <si>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</si>
  <si>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</si>
  <si>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</si>
  <si>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</si>
  <si>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</si>
  <si>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</si>
  <si>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</si>
  <si>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</si>
  <si>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</si>
  <si>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</si>
  <si>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</si>
  <si>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</si>
  <si>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</si>
  <si>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</si>
  <si>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</si>
  <si>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</si>
  <si>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</si>
  <si>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</si>
  <si>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</si>
  <si>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</si>
  <si>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</si>
  <si>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</si>
  <si>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</si>
  <si>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</si>
  <si>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</si>
  <si>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</si>
  <si>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</si>
  <si>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</si>
  <si>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</si>
  <si>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</si>
  <si>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</si>
  <si>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</si>
  <si>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</si>
  <si>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</si>
  <si>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</si>
  <si>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</si>
  <si>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</si>
  <si>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</si>
  <si>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</si>
  <si>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</si>
  <si>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</si>
  <si>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</si>
  <si>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</si>
  <si>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</si>
  <si>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</si>
  <si>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</si>
  <si>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</si>
  <si>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</si>
  <si>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</si>
  <si>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</si>
  <si>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</si>
  <si>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</si>
  <si>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</si>
  <si>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</si>
  <si>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</si>
  <si>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</si>
  <si>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</si>
  <si>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</si>
  <si>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</si>
  <si>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</si>
  <si>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</si>
  <si>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</si>
  <si>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</si>
  <si>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</si>
  <si>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</si>
  <si>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</si>
  <si>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</si>
  <si>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</si>
  <si>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</si>
  <si>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</si>
  <si>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</si>
  <si>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</si>
  <si>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</si>
  <si>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</si>
  <si>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</si>
  <si>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</si>
  <si>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</si>
  <si>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</si>
  <si>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</si>
  <si>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</si>
  <si>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</si>
  <si>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</si>
  <si>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</si>
  <si>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</si>
  <si>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</si>
  <si>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650 0104 6000002040 122</t>
  </si>
  <si>
    <t>212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</si>
  <si>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</si>
  <si>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</si>
  <si>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</si>
  <si>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</si>
  <si>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</si>
  <si>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</si>
  <si>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выплаты текущего характера физическим лицам</t>
  </si>
  <si>
    <t>650 0111 6000007050 870</t>
  </si>
  <si>
    <t>296</t>
  </si>
  <si>
    <t>650 0113 0200092400 122</t>
  </si>
  <si>
    <t>650 0113 0200092400 244</t>
  </si>
  <si>
    <t>650 0113 6000000590 111</t>
  </si>
  <si>
    <t>650 0113 6000000590 119</t>
  </si>
  <si>
    <t>Прочие несоциальные выплаты персоналу в натуральной форме</t>
  </si>
  <si>
    <t>650 0113 6000002400 122</t>
  </si>
  <si>
    <t>214</t>
  </si>
  <si>
    <t>Социальные компенсации персоналу в натуральной форме</t>
  </si>
  <si>
    <t>267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</si>
  <si>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</si>
  <si>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</si>
  <si>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</si>
  <si>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</si>
  <si>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</si>
  <si>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</si>
  <si>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</si>
  <si>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</si>
  <si>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</si>
  <si>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</si>
  <si>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</si>
  <si>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</si>
  <si>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</si>
  <si>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</si>
  <si>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</si>
  <si>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</si>
  <si>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</si>
  <si>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</si>
  <si>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</si>
  <si>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</si>
  <si>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</si>
  <si>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</si>
  <si>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</si>
  <si>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</si>
  <si>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650 0113 6000002400 851</t>
  </si>
  <si>
    <t>291</t>
  </si>
  <si>
    <t>650 0113 6000002400 852</t>
  </si>
  <si>
    <t>Другие экономические санкции</t>
  </si>
  <si>
    <t>650 0113 6000002400 853</t>
  </si>
  <si>
    <t>295</t>
  </si>
  <si>
    <t>650 0113 6000075150 111</t>
  </si>
  <si>
    <t>650 0113 6000075150 119</t>
  </si>
  <si>
    <t>650 0203 6000051180 121</t>
  </si>
  <si>
    <t>650 0203 6000051180 122</t>
  </si>
  <si>
    <t>650 0203 6000051180 129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</si>
  <si>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</si>
  <si>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</si>
  <si>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</si>
  <si>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</si>
  <si>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</si>
  <si>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</si>
  <si>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650 0314 0110192400 244</t>
  </si>
  <si>
    <t>650 0314 0120182300 123</t>
  </si>
  <si>
    <t>650 0314 01201S2300 123</t>
  </si>
  <si>
    <t>650 0314 0720192400 244</t>
  </si>
  <si>
    <t>650 0401 6000085060 111</t>
  </si>
  <si>
    <t>650 0401 6000085060 119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</si>
  <si>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</si>
  <si>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</si>
  <si>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</si>
  <si>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</si>
  <si>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</si>
  <si>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650 0409 0440094190 540</t>
  </si>
  <si>
    <t>650 0410 0300092400 242</t>
  </si>
  <si>
    <t>650 0410 6000002400 242</t>
  </si>
  <si>
    <t>650 0501 0500192400 244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</si>
  <si>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</si>
  <si>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</si>
  <si>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</si>
  <si>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</si>
  <si>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финансовым организациям государственного сектора на производство</t>
  </si>
  <si>
    <t>650 0501 0500692400 632</t>
  </si>
  <si>
    <t>242</t>
  </si>
  <si>
    <t>650 0502 6000082591 540</t>
  </si>
  <si>
    <t>650 0502 60000S2591 540</t>
  </si>
  <si>
    <t>650 0503 0810196100 244</t>
  </si>
  <si>
    <t>650 0503 0810378800 244</t>
  </si>
  <si>
    <t>650 0503 0820296400 244</t>
  </si>
  <si>
    <t>650 0503 0830196300 244</t>
  </si>
  <si>
    <t>650 0503 0850196500 244</t>
  </si>
  <si>
    <t>650 0503 0850296500 244</t>
  </si>
  <si>
    <t>650 0505 6000002040 540</t>
  </si>
  <si>
    <t>650 0707 6000000540 540</t>
  </si>
  <si>
    <t>650 0707 6000075150 540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</si>
  <si>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</si>
  <si>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</si>
  <si>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</si>
  <si>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</si>
  <si>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</si>
  <si>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</si>
  <si>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Штрафы за нарушение законодательства о налогах и сборах, законодательства о страховых взносах</t>
  </si>
  <si>
    <t>650 0801 6000000590 853</t>
  </si>
  <si>
    <t>292</t>
  </si>
  <si>
    <t>650 0801 6000072580 111</t>
  </si>
  <si>
    <t>650 0801 6000072580 119</t>
  </si>
  <si>
    <t>650 0801 6000075150 111</t>
  </si>
  <si>
    <t>650 0801 6000075150 119</t>
  </si>
  <si>
    <t>Пенсии, пособия, выплачиваемые работодателями, нанимателями бывшим работникам</t>
  </si>
  <si>
    <t>650 1001 6000000220 321</t>
  </si>
  <si>
    <t>264</t>
  </si>
  <si>
    <t>650 1101 6000000040 244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</si>
  <si>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</si>
  <si>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</si>
  <si>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</si>
  <si>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</si>
  <si>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</si>
  <si>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</si>
  <si>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</si>
  <si>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</si>
  <si>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</si>
  <si>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</si>
  <si>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</si>
  <si>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</si>
  <si>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</si>
  <si>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</si>
  <si>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</si>
  <si>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</si>
  <si>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</si>
  <si>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</si>
  <si>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</si>
  <si>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</si>
  <si>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</si>
  <si>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</si>
  <si>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</si>
  <si>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</si>
  <si>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</si>
  <si>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</si>
  <si>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</si>
  <si>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</si>
  <si>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4 апреля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</si>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</sst>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43556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45559697.64</f>
        <v>45559697.64</v>
      </c>
      <c r="T12" s="21"/>
      <c r="U12" s="21"/>
      <c r="V12" s="21">
        <f>9427036.8</f>
        <v>9427036.8</v>
      </c>
      <c r="W12" s="21"/>
      <c r="X12" s="21"/>
      <c r="Y12" s="21"/>
      <c r="Z12" s="21"/>
      <c r="AA12" s="22">
        <f>36132660.84</f>
        <v>36132660.84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16972.26</f>
        <v>16972.26</v>
      </c>
      <c r="W13" s="25"/>
      <c r="X13" s="25"/>
      <c r="Y13" s="25"/>
      <c r="Z13" s="25"/>
      <c r="AA13" s="26">
        <f>133027.74</f>
        <v>133027.74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19153.27</f>
        <v>19153.27</v>
      </c>
      <c r="W14" s="25"/>
      <c r="X14" s="25"/>
      <c r="Y14" s="25"/>
      <c r="Z14" s="25"/>
      <c r="AA14" s="26">
        <f>30846.73</f>
        <v>30846.73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1469877.65</f>
        <v>1469877.65</v>
      </c>
      <c r="T15" s="25"/>
      <c r="U15" s="25"/>
      <c r="V15" s="25">
        <f>480788.26</f>
        <v>480788.26</v>
      </c>
      <c r="W15" s="25"/>
      <c r="X15" s="25"/>
      <c r="Y15" s="25"/>
      <c r="Z15" s="25"/>
      <c r="AA15" s="26">
        <f>989089.39</f>
        <v>989089.39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10298.82</f>
        <v>10298.82</v>
      </c>
      <c r="T16" s="25"/>
      <c r="U16" s="25"/>
      <c r="V16" s="25">
        <f>3359.3</f>
        <v>3359.3</v>
      </c>
      <c r="W16" s="25"/>
      <c r="X16" s="25"/>
      <c r="Y16" s="25"/>
      <c r="Z16" s="25"/>
      <c r="AA16" s="26">
        <f>6939.52</f>
        <v>6939.52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2846574.92</f>
        <v>2846574.92</v>
      </c>
      <c r="T17" s="25"/>
      <c r="U17" s="25"/>
      <c r="V17" s="25">
        <f>704934.78</f>
        <v>704934.78</v>
      </c>
      <c r="W17" s="25"/>
      <c r="X17" s="25"/>
      <c r="Y17" s="25"/>
      <c r="Z17" s="25"/>
      <c r="AA17" s="26">
        <f>2141640.14</f>
        <v>2141640.14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-273326.77</f>
        <v>-273326.77</v>
      </c>
      <c r="T18" s="25"/>
      <c r="U18" s="25"/>
      <c r="V18" s="25">
        <f>-94622.79</f>
        <v>-94622.79</v>
      </c>
      <c r="W18" s="25"/>
      <c r="X18" s="25"/>
      <c r="Y18" s="25"/>
      <c r="Z18" s="25"/>
      <c r="AA18" s="26">
        <f>-178703.98</f>
        <v>-178703.98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4368000</f>
        <v>4368000</v>
      </c>
      <c r="T19" s="25"/>
      <c r="U19" s="25"/>
      <c r="V19" s="25">
        <f>1134668.72</f>
        <v>1134668.72</v>
      </c>
      <c r="W19" s="25"/>
      <c r="X19" s="25"/>
      <c r="Y19" s="25"/>
      <c r="Z19" s="25"/>
      <c r="AA19" s="26">
        <f>3233331.28</f>
        <v>3233331.28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63.45</f>
        <v>63.45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335000</f>
        <v>335000</v>
      </c>
      <c r="T21" s="25"/>
      <c r="U21" s="25"/>
      <c r="V21" s="25">
        <f>84976.65</f>
        <v>84976.65</v>
      </c>
      <c r="W21" s="25"/>
      <c r="X21" s="25"/>
      <c r="Y21" s="25"/>
      <c r="Z21" s="25"/>
      <c r="AA21" s="26">
        <f>250023.35</f>
        <v>250023.35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29118.31</f>
        <v>29118.31</v>
      </c>
      <c r="T22" s="25"/>
      <c r="U22" s="25"/>
      <c r="V22" s="27" t="s">
        <v>53</v>
      </c>
      <c r="W22" s="27"/>
      <c r="X22" s="27"/>
      <c r="Y22" s="27"/>
      <c r="Z22" s="27"/>
      <c r="AA22" s="26">
        <f>29118.31</f>
        <v>29118.31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4612.86</f>
        <v>4612.86</v>
      </c>
      <c r="W23" s="25"/>
      <c r="X23" s="25"/>
      <c r="Y23" s="25"/>
      <c r="Z23" s="25"/>
      <c r="AA23" s="26">
        <f>197387.14</f>
        <v>197387.14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300000</f>
        <v>300000</v>
      </c>
      <c r="T24" s="25"/>
      <c r="U24" s="25"/>
      <c r="V24" s="25">
        <f>60342.13</f>
        <v>60342.13</v>
      </c>
      <c r="W24" s="25"/>
      <c r="X24" s="25"/>
      <c r="Y24" s="25"/>
      <c r="Z24" s="25"/>
      <c r="AA24" s="26">
        <f>239657.87</f>
        <v>239657.87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160000</f>
        <v>160000</v>
      </c>
      <c r="T25" s="25"/>
      <c r="U25" s="25"/>
      <c r="V25" s="25">
        <f>1742.95</f>
        <v>1742.95</v>
      </c>
      <c r="W25" s="25"/>
      <c r="X25" s="25"/>
      <c r="Y25" s="25"/>
      <c r="Z25" s="25"/>
      <c r="AA25" s="26">
        <f>158257.05</f>
        <v>158257.05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50000</f>
        <v>50000</v>
      </c>
      <c r="T26" s="25"/>
      <c r="U26" s="25"/>
      <c r="V26" s="25">
        <f>13760</f>
        <v>13760</v>
      </c>
      <c r="W26" s="25"/>
      <c r="X26" s="25"/>
      <c r="Y26" s="25"/>
      <c r="Z26" s="25"/>
      <c r="AA26" s="26">
        <f>36240</f>
        <v>36240</v>
      </c>
      <c r="AB26" s="26"/>
      <c r="AC26" s="26"/>
    </row>
    <row r="27" spans="1:29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32000</f>
        <v>32000</v>
      </c>
      <c r="T27" s="25"/>
      <c r="U27" s="25"/>
      <c r="V27" s="27" t="s">
        <v>53</v>
      </c>
      <c r="W27" s="27"/>
      <c r="X27" s="27"/>
      <c r="Y27" s="27"/>
      <c r="Z27" s="27"/>
      <c r="AA27" s="26">
        <f>32000</f>
        <v>32000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780875.38</f>
        <v>780875.38</v>
      </c>
      <c r="T28" s="25"/>
      <c r="U28" s="25"/>
      <c r="V28" s="25">
        <f>199993.02</f>
        <v>199993.02</v>
      </c>
      <c r="W28" s="25"/>
      <c r="X28" s="25"/>
      <c r="Y28" s="25"/>
      <c r="Z28" s="25"/>
      <c r="AA28" s="26">
        <f>580882.36</f>
        <v>580882.36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288547</f>
        <v>288547</v>
      </c>
      <c r="T29" s="25"/>
      <c r="U29" s="25"/>
      <c r="V29" s="25">
        <f>126860</f>
        <v>126860</v>
      </c>
      <c r="W29" s="25"/>
      <c r="X29" s="25"/>
      <c r="Y29" s="25"/>
      <c r="Z29" s="25"/>
      <c r="AA29" s="26">
        <f>161687</f>
        <v>161687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7" t="s">
        <v>53</v>
      </c>
      <c r="T30" s="27"/>
      <c r="U30" s="27"/>
      <c r="V30" s="25">
        <f>50000</f>
        <v>50000</v>
      </c>
      <c r="W30" s="25"/>
      <c r="X30" s="25"/>
      <c r="Y30" s="25"/>
      <c r="Z30" s="25"/>
      <c r="AA30" s="28" t="s">
        <v>53</v>
      </c>
      <c r="AB30" s="28"/>
      <c r="AC30" s="28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26889100</f>
        <v>26889100</v>
      </c>
      <c r="T31" s="25"/>
      <c r="U31" s="25"/>
      <c r="V31" s="25">
        <f>5106785.48</f>
        <v>5106785.48</v>
      </c>
      <c r="W31" s="25"/>
      <c r="X31" s="25"/>
      <c r="Y31" s="25"/>
      <c r="Z31" s="25"/>
      <c r="AA31" s="26">
        <f>21782314.52</f>
        <v>21782314.52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435500</f>
        <v>435500</v>
      </c>
      <c r="T32" s="25"/>
      <c r="U32" s="25"/>
      <c r="V32" s="25">
        <f>138296.65</f>
        <v>138296.65</v>
      </c>
      <c r="W32" s="25"/>
      <c r="X32" s="25"/>
      <c r="Y32" s="25"/>
      <c r="Z32" s="25"/>
      <c r="AA32" s="26">
        <f>297203.35</f>
        <v>297203.35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79918.87</f>
        <v>79918.87</v>
      </c>
      <c r="T33" s="25"/>
      <c r="U33" s="25"/>
      <c r="V33" s="25">
        <f>15640.81</f>
        <v>15640.81</v>
      </c>
      <c r="W33" s="25"/>
      <c r="X33" s="25"/>
      <c r="Y33" s="25"/>
      <c r="Z33" s="25"/>
      <c r="AA33" s="26">
        <f>64278.06</f>
        <v>64278.06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7356213.46</f>
        <v>7356213.46</v>
      </c>
      <c r="T34" s="25"/>
      <c r="U34" s="25"/>
      <c r="V34" s="25">
        <f>1358709</f>
        <v>1358709</v>
      </c>
      <c r="W34" s="25"/>
      <c r="X34" s="25"/>
      <c r="Y34" s="25"/>
      <c r="Z34" s="25"/>
      <c r="AA34" s="26">
        <f>5997504.46</f>
        <v>5997504.46</v>
      </c>
      <c r="AB34" s="26"/>
      <c r="AC34" s="26"/>
    </row>
    <row r="35" spans="1:29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" customFormat="1" ht="34.5" customHeight="1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23</v>
      </c>
      <c r="M37" s="13"/>
      <c r="N37" s="13"/>
      <c r="O37" s="13" t="s">
        <v>83</v>
      </c>
      <c r="P37" s="13"/>
      <c r="Q37" s="13"/>
      <c r="R37" s="14" t="s">
        <v>84</v>
      </c>
      <c r="S37" s="14"/>
      <c r="T37" s="14" t="s">
        <v>25</v>
      </c>
      <c r="U37" s="14"/>
      <c r="V37" s="14"/>
      <c r="W37" s="14" t="s">
        <v>26</v>
      </c>
      <c r="X37" s="14"/>
      <c r="Y37" s="14"/>
      <c r="Z37" s="14"/>
      <c r="AA37" s="14"/>
      <c r="AB37" s="15" t="s">
        <v>27</v>
      </c>
      <c r="AC37" s="15"/>
    </row>
    <row r="38" spans="1:29" s="1" customFormat="1" ht="13.5" customHeight="1">
      <c r="A38" s="16" t="s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29</v>
      </c>
      <c r="M38" s="16"/>
      <c r="N38" s="16"/>
      <c r="O38" s="16" t="s">
        <v>30</v>
      </c>
      <c r="P38" s="16"/>
      <c r="Q38" s="16"/>
      <c r="R38" s="17" t="s">
        <v>31</v>
      </c>
      <c r="S38" s="17"/>
      <c r="T38" s="17" t="s">
        <v>32</v>
      </c>
      <c r="U38" s="17"/>
      <c r="V38" s="17"/>
      <c r="W38" s="17" t="s">
        <v>33</v>
      </c>
      <c r="X38" s="17"/>
      <c r="Y38" s="17"/>
      <c r="Z38" s="17"/>
      <c r="AA38" s="17"/>
      <c r="AB38" s="18" t="s">
        <v>85</v>
      </c>
      <c r="AC38" s="18"/>
    </row>
    <row r="39" spans="1:29" s="1" customFormat="1" ht="13.5" customHeight="1">
      <c r="A39" s="19" t="s">
        <v>86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87</v>
      </c>
      <c r="M39" s="20"/>
      <c r="N39" s="20"/>
      <c r="O39" s="20" t="s">
        <v>36</v>
      </c>
      <c r="P39" s="20"/>
      <c r="Q39" s="20"/>
      <c r="R39" s="30" t="s">
        <v>36</v>
      </c>
      <c r="S39" s="30"/>
      <c r="T39" s="21">
        <f>48102850.17</f>
        <v>48102850.17</v>
      </c>
      <c r="U39" s="21"/>
      <c r="V39" s="21"/>
      <c r="W39" s="21">
        <f>10978312.04</f>
        <v>10978312.04</v>
      </c>
      <c r="X39" s="21"/>
      <c r="Y39" s="21"/>
      <c r="Z39" s="21"/>
      <c r="AA39" s="21"/>
      <c r="AB39" s="22">
        <f>37124538.13</f>
        <v>37124538.13</v>
      </c>
      <c r="AC39" s="22"/>
    </row>
    <row r="40" spans="1:29" s="1" customFormat="1" ht="13.5" customHeight="1">
      <c r="A40" s="31" t="s">
        <v>88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87</v>
      </c>
      <c r="M40" s="32"/>
      <c r="N40" s="32"/>
      <c r="O40" s="32" t="s">
        <v>89</v>
      </c>
      <c r="P40" s="32"/>
      <c r="Q40" s="32"/>
      <c r="R40" s="33" t="s">
        <v>90</v>
      </c>
      <c r="S40" s="33"/>
      <c r="T40" s="34">
        <f>1450000</f>
        <v>1450000</v>
      </c>
      <c r="U40" s="34"/>
      <c r="V40" s="34"/>
      <c r="W40" s="34">
        <f>381682.25</f>
        <v>381682.25</v>
      </c>
      <c r="X40" s="34"/>
      <c r="Y40" s="34"/>
      <c r="Z40" s="34"/>
      <c r="AA40" s="34"/>
      <c r="AB40" s="35">
        <f>1068317.75</f>
        <v>1068317.75</v>
      </c>
      <c r="AC40" s="35"/>
    </row>
    <row r="41" spans="1:29" s="1" customFormat="1" ht="13.5" customHeight="1">
      <c r="A41" s="31" t="s">
        <v>91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87</v>
      </c>
      <c r="M41" s="32"/>
      <c r="N41" s="32"/>
      <c r="O41" s="32" t="s">
        <v>92</v>
      </c>
      <c r="P41" s="32"/>
      <c r="Q41" s="32"/>
      <c r="R41" s="33" t="s">
        <v>93</v>
      </c>
      <c r="S41" s="33"/>
      <c r="T41" s="34">
        <f>370000</f>
        <v>370000</v>
      </c>
      <c r="U41" s="34"/>
      <c r="V41" s="34"/>
      <c r="W41" s="34">
        <f>115483.13</f>
        <v>115483.13</v>
      </c>
      <c r="X41" s="34"/>
      <c r="Y41" s="34"/>
      <c r="Z41" s="34"/>
      <c r="AA41" s="34"/>
      <c r="AB41" s="35">
        <f>254516.87</f>
        <v>254516.87</v>
      </c>
      <c r="AC41" s="35"/>
    </row>
    <row r="42" spans="1:29" s="1" customFormat="1" ht="13.5" customHeight="1">
      <c r="A42" s="31" t="s">
        <v>88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87</v>
      </c>
      <c r="M42" s="32"/>
      <c r="N42" s="32"/>
      <c r="O42" s="32" t="s">
        <v>94</v>
      </c>
      <c r="P42" s="32"/>
      <c r="Q42" s="32"/>
      <c r="R42" s="33" t="s">
        <v>90</v>
      </c>
      <c r="S42" s="33"/>
      <c r="T42" s="34">
        <f>9483908.09</f>
        <v>9483908.09</v>
      </c>
      <c r="U42" s="34"/>
      <c r="V42" s="34"/>
      <c r="W42" s="34">
        <f>3189775</f>
        <v>3189775</v>
      </c>
      <c r="X42" s="34"/>
      <c r="Y42" s="34"/>
      <c r="Z42" s="34"/>
      <c r="AA42" s="34"/>
      <c r="AB42" s="35">
        <f>6294133.09</f>
        <v>6294133.09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87</v>
      </c>
      <c r="M43" s="32"/>
      <c r="N43" s="32"/>
      <c r="O43" s="32" t="s">
        <v>94</v>
      </c>
      <c r="P43" s="32"/>
      <c r="Q43" s="32"/>
      <c r="R43" s="33" t="s">
        <v>96</v>
      </c>
      <c r="S43" s="33"/>
      <c r="T43" s="34">
        <f>16091.91</f>
        <v>16091.91</v>
      </c>
      <c r="U43" s="34"/>
      <c r="V43" s="34"/>
      <c r="W43" s="34">
        <f>16091.91</f>
        <v>16091.91</v>
      </c>
      <c r="X43" s="34"/>
      <c r="Y43" s="34"/>
      <c r="Z43" s="34"/>
      <c r="AA43" s="34"/>
      <c r="AB43" s="35">
        <f>0</f>
        <v>0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87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30000</f>
        <v>30000</v>
      </c>
      <c r="U44" s="34"/>
      <c r="V44" s="34"/>
      <c r="W44" s="34">
        <f>2000</f>
        <v>2000</v>
      </c>
      <c r="X44" s="34"/>
      <c r="Y44" s="34"/>
      <c r="Z44" s="34"/>
      <c r="AA44" s="34"/>
      <c r="AB44" s="35">
        <f>28000</f>
        <v>28000</v>
      </c>
      <c r="AC44" s="35"/>
    </row>
    <row r="45" spans="1:29" s="1" customFormat="1" ht="13.5" customHeight="1">
      <c r="A45" s="31" t="s">
        <v>100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87</v>
      </c>
      <c r="M45" s="32"/>
      <c r="N45" s="32"/>
      <c r="O45" s="32" t="s">
        <v>98</v>
      </c>
      <c r="P45" s="32"/>
      <c r="Q45" s="32"/>
      <c r="R45" s="33" t="s">
        <v>101</v>
      </c>
      <c r="S45" s="33"/>
      <c r="T45" s="34">
        <f>70000</f>
        <v>70000</v>
      </c>
      <c r="U45" s="34"/>
      <c r="V45" s="34"/>
      <c r="W45" s="34">
        <f>100</f>
        <v>100</v>
      </c>
      <c r="X45" s="34"/>
      <c r="Y45" s="34"/>
      <c r="Z45" s="34"/>
      <c r="AA45" s="34"/>
      <c r="AB45" s="35">
        <f>69900</f>
        <v>69900</v>
      </c>
      <c r="AC45" s="35"/>
    </row>
    <row r="46" spans="1:29" s="1" customFormat="1" ht="13.5" customHeight="1">
      <c r="A46" s="31" t="s">
        <v>91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87</v>
      </c>
      <c r="M46" s="32"/>
      <c r="N46" s="32"/>
      <c r="O46" s="32" t="s">
        <v>102</v>
      </c>
      <c r="P46" s="32"/>
      <c r="Q46" s="32"/>
      <c r="R46" s="33" t="s">
        <v>93</v>
      </c>
      <c r="S46" s="33"/>
      <c r="T46" s="34">
        <f>3000000</f>
        <v>3000000</v>
      </c>
      <c r="U46" s="34"/>
      <c r="V46" s="34"/>
      <c r="W46" s="34">
        <f>1018947.55</f>
        <v>1018947.55</v>
      </c>
      <c r="X46" s="34"/>
      <c r="Y46" s="34"/>
      <c r="Z46" s="34"/>
      <c r="AA46" s="34"/>
      <c r="AB46" s="35">
        <f>1981052.45</f>
        <v>1981052.45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87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174364</f>
        <v>174364</v>
      </c>
      <c r="U47" s="34"/>
      <c r="V47" s="34"/>
      <c r="W47" s="34">
        <f>43591</f>
        <v>43591</v>
      </c>
      <c r="X47" s="34"/>
      <c r="Y47" s="34"/>
      <c r="Z47" s="34"/>
      <c r="AA47" s="34"/>
      <c r="AB47" s="35">
        <f>130773</f>
        <v>130773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87</v>
      </c>
      <c r="M48" s="32"/>
      <c r="N48" s="32"/>
      <c r="O48" s="32" t="s">
        <v>107</v>
      </c>
      <c r="P48" s="32"/>
      <c r="Q48" s="32"/>
      <c r="R48" s="33" t="s">
        <v>108</v>
      </c>
      <c r="S48" s="33"/>
      <c r="T48" s="34">
        <f>300000</f>
        <v>300000</v>
      </c>
      <c r="U48" s="34"/>
      <c r="V48" s="34"/>
      <c r="W48" s="36" t="s">
        <v>53</v>
      </c>
      <c r="X48" s="36"/>
      <c r="Y48" s="36"/>
      <c r="Z48" s="36"/>
      <c r="AA48" s="36"/>
      <c r="AB48" s="35">
        <f>300000</f>
        <v>300000</v>
      </c>
      <c r="AC48" s="35"/>
    </row>
    <row r="49" spans="1:29" s="1" customFormat="1" ht="13.5" customHeight="1">
      <c r="A49" s="31" t="s">
        <v>97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87</v>
      </c>
      <c r="M49" s="32"/>
      <c r="N49" s="32"/>
      <c r="O49" s="32" t="s">
        <v>109</v>
      </c>
      <c r="P49" s="32"/>
      <c r="Q49" s="32"/>
      <c r="R49" s="33" t="s">
        <v>99</v>
      </c>
      <c r="S49" s="33"/>
      <c r="T49" s="34">
        <f>47727.1</f>
        <v>47727.1</v>
      </c>
      <c r="U49" s="34"/>
      <c r="V49" s="34"/>
      <c r="W49" s="34">
        <f>3000</f>
        <v>3000</v>
      </c>
      <c r="X49" s="34"/>
      <c r="Y49" s="34"/>
      <c r="Z49" s="34"/>
      <c r="AA49" s="34"/>
      <c r="AB49" s="35">
        <f>44727.1</f>
        <v>44727.1</v>
      </c>
      <c r="AC49" s="35"/>
    </row>
    <row r="50" spans="1:29" s="1" customFormat="1" ht="13.5" customHeight="1">
      <c r="A50" s="31" t="s">
        <v>100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87</v>
      </c>
      <c r="M50" s="32"/>
      <c r="N50" s="32"/>
      <c r="O50" s="32" t="s">
        <v>109</v>
      </c>
      <c r="P50" s="32"/>
      <c r="Q50" s="32"/>
      <c r="R50" s="33" t="s">
        <v>101</v>
      </c>
      <c r="S50" s="33"/>
      <c r="T50" s="34">
        <f>2272.9</f>
        <v>2272.9</v>
      </c>
      <c r="U50" s="34"/>
      <c r="V50" s="34"/>
      <c r="W50" s="34">
        <f>2272.9</f>
        <v>2272.9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100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87</v>
      </c>
      <c r="M51" s="32"/>
      <c r="N51" s="32"/>
      <c r="O51" s="32" t="s">
        <v>110</v>
      </c>
      <c r="P51" s="32"/>
      <c r="Q51" s="32"/>
      <c r="R51" s="33" t="s">
        <v>101</v>
      </c>
      <c r="S51" s="33"/>
      <c r="T51" s="34">
        <f>50000</f>
        <v>50000</v>
      </c>
      <c r="U51" s="34"/>
      <c r="V51" s="34"/>
      <c r="W51" s="34">
        <f>12900</f>
        <v>12900</v>
      </c>
      <c r="X51" s="34"/>
      <c r="Y51" s="34"/>
      <c r="Z51" s="34"/>
      <c r="AA51" s="34"/>
      <c r="AB51" s="35">
        <f>37100</f>
        <v>37100</v>
      </c>
      <c r="AC51" s="35"/>
    </row>
    <row r="52" spans="1:29" s="1" customFormat="1" ht="13.5" customHeight="1">
      <c r="A52" s="31" t="s">
        <v>88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87</v>
      </c>
      <c r="M52" s="32"/>
      <c r="N52" s="32"/>
      <c r="O52" s="32" t="s">
        <v>111</v>
      </c>
      <c r="P52" s="32"/>
      <c r="Q52" s="32"/>
      <c r="R52" s="33" t="s">
        <v>90</v>
      </c>
      <c r="S52" s="33"/>
      <c r="T52" s="34">
        <f>489438.09</f>
        <v>489438.09</v>
      </c>
      <c r="U52" s="34"/>
      <c r="V52" s="34"/>
      <c r="W52" s="36" t="s">
        <v>53</v>
      </c>
      <c r="X52" s="36"/>
      <c r="Y52" s="36"/>
      <c r="Z52" s="36"/>
      <c r="AA52" s="36"/>
      <c r="AB52" s="35">
        <f>489438.09</f>
        <v>489438.09</v>
      </c>
      <c r="AC52" s="35"/>
    </row>
    <row r="53" spans="1:29" s="1" customFormat="1" ht="13.5" customHeight="1">
      <c r="A53" s="31" t="s">
        <v>91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87</v>
      </c>
      <c r="M53" s="32"/>
      <c r="N53" s="32"/>
      <c r="O53" s="32" t="s">
        <v>112</v>
      </c>
      <c r="P53" s="32"/>
      <c r="Q53" s="32"/>
      <c r="R53" s="33" t="s">
        <v>93</v>
      </c>
      <c r="S53" s="33"/>
      <c r="T53" s="34">
        <f>155210</f>
        <v>155210</v>
      </c>
      <c r="U53" s="34"/>
      <c r="V53" s="34"/>
      <c r="W53" s="36" t="s">
        <v>53</v>
      </c>
      <c r="X53" s="36"/>
      <c r="Y53" s="36"/>
      <c r="Z53" s="36"/>
      <c r="AA53" s="36"/>
      <c r="AB53" s="35">
        <f>155210</f>
        <v>155210</v>
      </c>
      <c r="AC53" s="35"/>
    </row>
    <row r="54" spans="1:29" s="1" customFormat="1" ht="13.5" customHeight="1">
      <c r="A54" s="31" t="s">
        <v>113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87</v>
      </c>
      <c r="M54" s="32"/>
      <c r="N54" s="32"/>
      <c r="O54" s="32" t="s">
        <v>114</v>
      </c>
      <c r="P54" s="32"/>
      <c r="Q54" s="32"/>
      <c r="R54" s="33" t="s">
        <v>115</v>
      </c>
      <c r="S54" s="33"/>
      <c r="T54" s="34">
        <f>150000</f>
        <v>150000</v>
      </c>
      <c r="U54" s="34"/>
      <c r="V54" s="34"/>
      <c r="W54" s="36" t="s">
        <v>53</v>
      </c>
      <c r="X54" s="36"/>
      <c r="Y54" s="36"/>
      <c r="Z54" s="36"/>
      <c r="AA54" s="36"/>
      <c r="AB54" s="35">
        <f>150000</f>
        <v>150000</v>
      </c>
      <c r="AC54" s="35"/>
    </row>
    <row r="55" spans="1:29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87</v>
      </c>
      <c r="M55" s="32"/>
      <c r="N55" s="32"/>
      <c r="O55" s="32" t="s">
        <v>114</v>
      </c>
      <c r="P55" s="32"/>
      <c r="Q55" s="32"/>
      <c r="R55" s="33" t="s">
        <v>117</v>
      </c>
      <c r="S55" s="33"/>
      <c r="T55" s="34">
        <f>150000</f>
        <v>150000</v>
      </c>
      <c r="U55" s="34"/>
      <c r="V55" s="34"/>
      <c r="W55" s="36" t="s">
        <v>53</v>
      </c>
      <c r="X55" s="36"/>
      <c r="Y55" s="36"/>
      <c r="Z55" s="36"/>
      <c r="AA55" s="36"/>
      <c r="AB55" s="35">
        <f>150000</f>
        <v>150000</v>
      </c>
      <c r="AC55" s="35"/>
    </row>
    <row r="56" spans="1:29" s="1" customFormat="1" ht="13.5" customHeight="1">
      <c r="A56" s="31" t="s">
        <v>118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87</v>
      </c>
      <c r="M56" s="32"/>
      <c r="N56" s="32"/>
      <c r="O56" s="32" t="s">
        <v>119</v>
      </c>
      <c r="P56" s="32"/>
      <c r="Q56" s="32"/>
      <c r="R56" s="33" t="s">
        <v>120</v>
      </c>
      <c r="S56" s="33"/>
      <c r="T56" s="34">
        <f>20000</f>
        <v>20000</v>
      </c>
      <c r="U56" s="34"/>
      <c r="V56" s="34"/>
      <c r="W56" s="34">
        <f>9000</f>
        <v>9000</v>
      </c>
      <c r="X56" s="34"/>
      <c r="Y56" s="34"/>
      <c r="Z56" s="34"/>
      <c r="AA56" s="34"/>
      <c r="AB56" s="35">
        <f>11000</f>
        <v>11000</v>
      </c>
      <c r="AC56" s="35"/>
    </row>
    <row r="57" spans="1:29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87</v>
      </c>
      <c r="M57" s="32"/>
      <c r="N57" s="32"/>
      <c r="O57" s="32" t="s">
        <v>119</v>
      </c>
      <c r="P57" s="32"/>
      <c r="Q57" s="32"/>
      <c r="R57" s="33" t="s">
        <v>122</v>
      </c>
      <c r="S57" s="33"/>
      <c r="T57" s="34">
        <f>93500</f>
        <v>93500</v>
      </c>
      <c r="U57" s="34"/>
      <c r="V57" s="34"/>
      <c r="W57" s="34">
        <f>21107.4</f>
        <v>21107.4</v>
      </c>
      <c r="X57" s="34"/>
      <c r="Y57" s="34"/>
      <c r="Z57" s="34"/>
      <c r="AA57" s="34"/>
      <c r="AB57" s="35">
        <f>72392.6</f>
        <v>72392.6</v>
      </c>
      <c r="AC57" s="35"/>
    </row>
    <row r="58" spans="1:29" s="1" customFormat="1" ht="13.5" customHeight="1">
      <c r="A58" s="31" t="s">
        <v>123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87</v>
      </c>
      <c r="M58" s="32"/>
      <c r="N58" s="32"/>
      <c r="O58" s="32" t="s">
        <v>119</v>
      </c>
      <c r="P58" s="32"/>
      <c r="Q58" s="32"/>
      <c r="R58" s="33" t="s">
        <v>124</v>
      </c>
      <c r="S58" s="33"/>
      <c r="T58" s="34">
        <f>340900</f>
        <v>340900</v>
      </c>
      <c r="U58" s="34"/>
      <c r="V58" s="34"/>
      <c r="W58" s="34">
        <f>93955.25</f>
        <v>93955.25</v>
      </c>
      <c r="X58" s="34"/>
      <c r="Y58" s="34"/>
      <c r="Z58" s="34"/>
      <c r="AA58" s="34"/>
      <c r="AB58" s="35">
        <f>246944.75</f>
        <v>246944.75</v>
      </c>
      <c r="AC58" s="35"/>
    </row>
    <row r="59" spans="1:29" s="1" customFormat="1" ht="13.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87</v>
      </c>
      <c r="M59" s="32"/>
      <c r="N59" s="32"/>
      <c r="O59" s="32" t="s">
        <v>119</v>
      </c>
      <c r="P59" s="32"/>
      <c r="Q59" s="32"/>
      <c r="R59" s="33" t="s">
        <v>126</v>
      </c>
      <c r="S59" s="33"/>
      <c r="T59" s="34">
        <f>826570.19</f>
        <v>826570.19</v>
      </c>
      <c r="U59" s="34"/>
      <c r="V59" s="34"/>
      <c r="W59" s="34">
        <f>29834</f>
        <v>29834</v>
      </c>
      <c r="X59" s="34"/>
      <c r="Y59" s="34"/>
      <c r="Z59" s="34"/>
      <c r="AA59" s="34"/>
      <c r="AB59" s="35">
        <f>796736.19</f>
        <v>796736.19</v>
      </c>
      <c r="AC59" s="35"/>
    </row>
    <row r="60" spans="1:29" s="1" customFormat="1" ht="13.5" customHeight="1">
      <c r="A60" s="31" t="s">
        <v>100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87</v>
      </c>
      <c r="M60" s="32"/>
      <c r="N60" s="32"/>
      <c r="O60" s="32" t="s">
        <v>119</v>
      </c>
      <c r="P60" s="32"/>
      <c r="Q60" s="32"/>
      <c r="R60" s="33" t="s">
        <v>101</v>
      </c>
      <c r="S60" s="33"/>
      <c r="T60" s="34">
        <f>170000</f>
        <v>170000</v>
      </c>
      <c r="U60" s="34"/>
      <c r="V60" s="34"/>
      <c r="W60" s="34">
        <f>31112.2</f>
        <v>31112.2</v>
      </c>
      <c r="X60" s="34"/>
      <c r="Y60" s="34"/>
      <c r="Z60" s="34"/>
      <c r="AA60" s="34"/>
      <c r="AB60" s="35">
        <f>138887.8</f>
        <v>138887.8</v>
      </c>
      <c r="AC60" s="35"/>
    </row>
    <row r="61" spans="1:29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87</v>
      </c>
      <c r="M61" s="32"/>
      <c r="N61" s="32"/>
      <c r="O61" s="32" t="s">
        <v>119</v>
      </c>
      <c r="P61" s="32"/>
      <c r="Q61" s="32"/>
      <c r="R61" s="33" t="s">
        <v>128</v>
      </c>
      <c r="S61" s="33"/>
      <c r="T61" s="34">
        <f>10000</f>
        <v>10000</v>
      </c>
      <c r="U61" s="34"/>
      <c r="V61" s="34"/>
      <c r="W61" s="34">
        <f>7132.36</f>
        <v>7132.36</v>
      </c>
      <c r="X61" s="34"/>
      <c r="Y61" s="34"/>
      <c r="Z61" s="34"/>
      <c r="AA61" s="34"/>
      <c r="AB61" s="35">
        <f>2867.64</f>
        <v>2867.64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87</v>
      </c>
      <c r="M62" s="32"/>
      <c r="N62" s="32"/>
      <c r="O62" s="32" t="s">
        <v>119</v>
      </c>
      <c r="P62" s="32"/>
      <c r="Q62" s="32"/>
      <c r="R62" s="33" t="s">
        <v>130</v>
      </c>
      <c r="S62" s="33"/>
      <c r="T62" s="34">
        <f>50000</f>
        <v>50000</v>
      </c>
      <c r="U62" s="34"/>
      <c r="V62" s="34"/>
      <c r="W62" s="34">
        <f>43313.5</f>
        <v>43313.5</v>
      </c>
      <c r="X62" s="34"/>
      <c r="Y62" s="34"/>
      <c r="Z62" s="34"/>
      <c r="AA62" s="34"/>
      <c r="AB62" s="35">
        <f>6686.5</f>
        <v>6686.5</v>
      </c>
      <c r="AC62" s="35"/>
    </row>
    <row r="63" spans="1:29" s="1" customFormat="1" ht="13.5" customHeight="1">
      <c r="A63" s="31" t="s">
        <v>131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87</v>
      </c>
      <c r="M63" s="32"/>
      <c r="N63" s="32"/>
      <c r="O63" s="32" t="s">
        <v>119</v>
      </c>
      <c r="P63" s="32"/>
      <c r="Q63" s="32"/>
      <c r="R63" s="33" t="s">
        <v>132</v>
      </c>
      <c r="S63" s="33"/>
      <c r="T63" s="34">
        <f>130000</f>
        <v>130000</v>
      </c>
      <c r="U63" s="34"/>
      <c r="V63" s="34"/>
      <c r="W63" s="34">
        <f>110130.5</f>
        <v>110130.5</v>
      </c>
      <c r="X63" s="34"/>
      <c r="Y63" s="34"/>
      <c r="Z63" s="34"/>
      <c r="AA63" s="34"/>
      <c r="AB63" s="35">
        <f>19869.5</f>
        <v>19869.5</v>
      </c>
      <c r="AC63" s="35"/>
    </row>
    <row r="64" spans="1:29" s="1" customFormat="1" ht="13.5" customHeight="1">
      <c r="A64" s="31" t="s">
        <v>133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87</v>
      </c>
      <c r="M64" s="32"/>
      <c r="N64" s="32"/>
      <c r="O64" s="32" t="s">
        <v>119</v>
      </c>
      <c r="P64" s="32"/>
      <c r="Q64" s="32"/>
      <c r="R64" s="33" t="s">
        <v>134</v>
      </c>
      <c r="S64" s="33"/>
      <c r="T64" s="34">
        <f>5572</f>
        <v>5572</v>
      </c>
      <c r="U64" s="34"/>
      <c r="V64" s="34"/>
      <c r="W64" s="34">
        <f>5572</f>
        <v>5572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135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87</v>
      </c>
      <c r="M65" s="32"/>
      <c r="N65" s="32"/>
      <c r="O65" s="32" t="s">
        <v>119</v>
      </c>
      <c r="P65" s="32"/>
      <c r="Q65" s="32"/>
      <c r="R65" s="33" t="s">
        <v>136</v>
      </c>
      <c r="S65" s="33"/>
      <c r="T65" s="34">
        <f>356.25</f>
        <v>356.25</v>
      </c>
      <c r="U65" s="34"/>
      <c r="V65" s="34"/>
      <c r="W65" s="34">
        <f>356.25</f>
        <v>356.25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137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87</v>
      </c>
      <c r="M66" s="32"/>
      <c r="N66" s="32"/>
      <c r="O66" s="32" t="s">
        <v>119</v>
      </c>
      <c r="P66" s="32"/>
      <c r="Q66" s="32"/>
      <c r="R66" s="33" t="s">
        <v>138</v>
      </c>
      <c r="S66" s="33"/>
      <c r="T66" s="34">
        <f>142000</f>
        <v>142000</v>
      </c>
      <c r="U66" s="34"/>
      <c r="V66" s="34"/>
      <c r="W66" s="34">
        <f>128592.94</f>
        <v>128592.94</v>
      </c>
      <c r="X66" s="34"/>
      <c r="Y66" s="34"/>
      <c r="Z66" s="34"/>
      <c r="AA66" s="34"/>
      <c r="AB66" s="35">
        <f>13407.06</f>
        <v>13407.06</v>
      </c>
      <c r="AC66" s="35"/>
    </row>
    <row r="67" spans="1:29" s="1" customFormat="1" ht="24" customHeight="1">
      <c r="A67" s="31" t="s">
        <v>139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87</v>
      </c>
      <c r="M67" s="32"/>
      <c r="N67" s="32"/>
      <c r="O67" s="32" t="s">
        <v>119</v>
      </c>
      <c r="P67" s="32"/>
      <c r="Q67" s="32"/>
      <c r="R67" s="33" t="s">
        <v>140</v>
      </c>
      <c r="S67" s="33"/>
      <c r="T67" s="34">
        <f>117643.75</f>
        <v>117643.75</v>
      </c>
      <c r="U67" s="34"/>
      <c r="V67" s="34"/>
      <c r="W67" s="34">
        <f>11380.8</f>
        <v>11380.8</v>
      </c>
      <c r="X67" s="34"/>
      <c r="Y67" s="34"/>
      <c r="Z67" s="34"/>
      <c r="AA67" s="34"/>
      <c r="AB67" s="35">
        <f>106262.95</f>
        <v>106262.95</v>
      </c>
      <c r="AC67" s="35"/>
    </row>
    <row r="68" spans="1:29" s="1" customFormat="1" ht="13.5" customHeight="1">
      <c r="A68" s="31" t="s">
        <v>141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87</v>
      </c>
      <c r="M68" s="32"/>
      <c r="N68" s="32"/>
      <c r="O68" s="32" t="s">
        <v>142</v>
      </c>
      <c r="P68" s="32"/>
      <c r="Q68" s="32"/>
      <c r="R68" s="33" t="s">
        <v>143</v>
      </c>
      <c r="S68" s="33"/>
      <c r="T68" s="34">
        <f>3506</f>
        <v>3506</v>
      </c>
      <c r="U68" s="34"/>
      <c r="V68" s="34"/>
      <c r="W68" s="34">
        <f>3506</f>
        <v>3506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141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87</v>
      </c>
      <c r="M69" s="32"/>
      <c r="N69" s="32"/>
      <c r="O69" s="32" t="s">
        <v>144</v>
      </c>
      <c r="P69" s="32"/>
      <c r="Q69" s="32"/>
      <c r="R69" s="33" t="s">
        <v>143</v>
      </c>
      <c r="S69" s="33"/>
      <c r="T69" s="34">
        <f>1200</f>
        <v>1200</v>
      </c>
      <c r="U69" s="34"/>
      <c r="V69" s="34"/>
      <c r="W69" s="34">
        <f>896</f>
        <v>896</v>
      </c>
      <c r="X69" s="34"/>
      <c r="Y69" s="34"/>
      <c r="Z69" s="34"/>
      <c r="AA69" s="34"/>
      <c r="AB69" s="35">
        <f>304</f>
        <v>304</v>
      </c>
      <c r="AC69" s="35"/>
    </row>
    <row r="70" spans="1:29" s="1" customFormat="1" ht="13.5" customHeight="1">
      <c r="A70" s="31" t="s">
        <v>145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87</v>
      </c>
      <c r="M70" s="32"/>
      <c r="N70" s="32"/>
      <c r="O70" s="32" t="s">
        <v>146</v>
      </c>
      <c r="P70" s="32"/>
      <c r="Q70" s="32"/>
      <c r="R70" s="33" t="s">
        <v>147</v>
      </c>
      <c r="S70" s="33"/>
      <c r="T70" s="34">
        <f>50000</f>
        <v>50000</v>
      </c>
      <c r="U70" s="34"/>
      <c r="V70" s="34"/>
      <c r="W70" s="34">
        <f>50000</f>
        <v>50000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87</v>
      </c>
      <c r="M71" s="32"/>
      <c r="N71" s="32"/>
      <c r="O71" s="32" t="s">
        <v>148</v>
      </c>
      <c r="P71" s="32"/>
      <c r="Q71" s="32"/>
      <c r="R71" s="33" t="s">
        <v>90</v>
      </c>
      <c r="S71" s="33"/>
      <c r="T71" s="34">
        <f>425960</f>
        <v>425960</v>
      </c>
      <c r="U71" s="34"/>
      <c r="V71" s="34"/>
      <c r="W71" s="36" t="s">
        <v>53</v>
      </c>
      <c r="X71" s="36"/>
      <c r="Y71" s="36"/>
      <c r="Z71" s="36"/>
      <c r="AA71" s="36"/>
      <c r="AB71" s="35">
        <f>425960</f>
        <v>425960</v>
      </c>
      <c r="AC71" s="35"/>
    </row>
    <row r="72" spans="1:29" s="1" customFormat="1" ht="13.5" customHeight="1">
      <c r="A72" s="31" t="s">
        <v>91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87</v>
      </c>
      <c r="M72" s="32"/>
      <c r="N72" s="32"/>
      <c r="O72" s="32" t="s">
        <v>149</v>
      </c>
      <c r="P72" s="32"/>
      <c r="Q72" s="32"/>
      <c r="R72" s="33" t="s">
        <v>93</v>
      </c>
      <c r="S72" s="33"/>
      <c r="T72" s="34">
        <f>128640</f>
        <v>128640</v>
      </c>
      <c r="U72" s="34"/>
      <c r="V72" s="34"/>
      <c r="W72" s="36" t="s">
        <v>53</v>
      </c>
      <c r="X72" s="36"/>
      <c r="Y72" s="36"/>
      <c r="Z72" s="36"/>
      <c r="AA72" s="36"/>
      <c r="AB72" s="35">
        <f>128640</f>
        <v>128640</v>
      </c>
      <c r="AC72" s="35"/>
    </row>
    <row r="73" spans="1:29" s="1" customFormat="1" ht="13.5" customHeight="1">
      <c r="A73" s="31" t="s">
        <v>88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87</v>
      </c>
      <c r="M73" s="32"/>
      <c r="N73" s="32"/>
      <c r="O73" s="32" t="s">
        <v>150</v>
      </c>
      <c r="P73" s="32"/>
      <c r="Q73" s="32"/>
      <c r="R73" s="33" t="s">
        <v>90</v>
      </c>
      <c r="S73" s="33"/>
      <c r="T73" s="34">
        <f>322608</f>
        <v>322608</v>
      </c>
      <c r="U73" s="34"/>
      <c r="V73" s="34"/>
      <c r="W73" s="34">
        <f>105773.31</f>
        <v>105773.31</v>
      </c>
      <c r="X73" s="34"/>
      <c r="Y73" s="34"/>
      <c r="Z73" s="34"/>
      <c r="AA73" s="34"/>
      <c r="AB73" s="35">
        <f>216834.69</f>
        <v>216834.69</v>
      </c>
      <c r="AC73" s="35"/>
    </row>
    <row r="74" spans="1:29" s="1" customFormat="1" ht="13.5" customHeight="1">
      <c r="A74" s="31" t="s">
        <v>100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87</v>
      </c>
      <c r="M74" s="32"/>
      <c r="N74" s="32"/>
      <c r="O74" s="32" t="s">
        <v>151</v>
      </c>
      <c r="P74" s="32"/>
      <c r="Q74" s="32"/>
      <c r="R74" s="33" t="s">
        <v>101</v>
      </c>
      <c r="S74" s="33"/>
      <c r="T74" s="34">
        <f>5000</f>
        <v>5000</v>
      </c>
      <c r="U74" s="34"/>
      <c r="V74" s="34"/>
      <c r="W74" s="34">
        <f>579.8</f>
        <v>579.8</v>
      </c>
      <c r="X74" s="34"/>
      <c r="Y74" s="34"/>
      <c r="Z74" s="34"/>
      <c r="AA74" s="34"/>
      <c r="AB74" s="35">
        <f>4420.2</f>
        <v>4420.2</v>
      </c>
      <c r="AC74" s="35"/>
    </row>
    <row r="75" spans="1:29" s="1" customFormat="1" ht="13.5" customHeight="1">
      <c r="A75" s="31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87</v>
      </c>
      <c r="M75" s="32"/>
      <c r="N75" s="32"/>
      <c r="O75" s="32" t="s">
        <v>152</v>
      </c>
      <c r="P75" s="32"/>
      <c r="Q75" s="32"/>
      <c r="R75" s="33" t="s">
        <v>93</v>
      </c>
      <c r="S75" s="33"/>
      <c r="T75" s="34">
        <f>97422</f>
        <v>97422</v>
      </c>
      <c r="U75" s="34"/>
      <c r="V75" s="34"/>
      <c r="W75" s="34">
        <f>31943.54</f>
        <v>31943.54</v>
      </c>
      <c r="X75" s="34"/>
      <c r="Y75" s="34"/>
      <c r="Z75" s="34"/>
      <c r="AA75" s="34"/>
      <c r="AB75" s="35">
        <f>65478.46</f>
        <v>65478.46</v>
      </c>
      <c r="AC75" s="35"/>
    </row>
    <row r="76" spans="1:29" s="1" customFormat="1" ht="13.5" customHeight="1">
      <c r="A76" s="31" t="s">
        <v>123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87</v>
      </c>
      <c r="M76" s="32"/>
      <c r="N76" s="32"/>
      <c r="O76" s="32" t="s">
        <v>153</v>
      </c>
      <c r="P76" s="32"/>
      <c r="Q76" s="32"/>
      <c r="R76" s="33" t="s">
        <v>124</v>
      </c>
      <c r="S76" s="33"/>
      <c r="T76" s="34">
        <f>10470</f>
        <v>10470</v>
      </c>
      <c r="U76" s="34"/>
      <c r="V76" s="34"/>
      <c r="W76" s="36" t="s">
        <v>53</v>
      </c>
      <c r="X76" s="36"/>
      <c r="Y76" s="36"/>
      <c r="Z76" s="36"/>
      <c r="AA76" s="36"/>
      <c r="AB76" s="35">
        <f>10470</f>
        <v>10470</v>
      </c>
      <c r="AC76" s="35"/>
    </row>
    <row r="77" spans="1:29" s="1" customFormat="1" ht="13.5" customHeight="1">
      <c r="A77" s="31" t="s">
        <v>88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87</v>
      </c>
      <c r="M77" s="32"/>
      <c r="N77" s="32"/>
      <c r="O77" s="32" t="s">
        <v>154</v>
      </c>
      <c r="P77" s="32"/>
      <c r="Q77" s="32"/>
      <c r="R77" s="33" t="s">
        <v>90</v>
      </c>
      <c r="S77" s="33"/>
      <c r="T77" s="34">
        <f>40855.04</f>
        <v>40855.04</v>
      </c>
      <c r="U77" s="34"/>
      <c r="V77" s="34"/>
      <c r="W77" s="34">
        <f>7455.91</f>
        <v>7455.91</v>
      </c>
      <c r="X77" s="34"/>
      <c r="Y77" s="34"/>
      <c r="Z77" s="34"/>
      <c r="AA77" s="34"/>
      <c r="AB77" s="35">
        <f>33399.13</f>
        <v>33399.13</v>
      </c>
      <c r="AC77" s="35"/>
    </row>
    <row r="78" spans="1:29" s="1" customFormat="1" ht="13.5" customHeight="1">
      <c r="A78" s="31" t="s">
        <v>91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87</v>
      </c>
      <c r="M78" s="32"/>
      <c r="N78" s="32"/>
      <c r="O78" s="32" t="s">
        <v>155</v>
      </c>
      <c r="P78" s="32"/>
      <c r="Q78" s="32"/>
      <c r="R78" s="33" t="s">
        <v>93</v>
      </c>
      <c r="S78" s="33"/>
      <c r="T78" s="34">
        <f>12338.22</f>
        <v>12338.22</v>
      </c>
      <c r="U78" s="34"/>
      <c r="V78" s="34"/>
      <c r="W78" s="34">
        <f>2251.69</f>
        <v>2251.69</v>
      </c>
      <c r="X78" s="34"/>
      <c r="Y78" s="34"/>
      <c r="Z78" s="34"/>
      <c r="AA78" s="34"/>
      <c r="AB78" s="35">
        <f>10086.53</f>
        <v>10086.53</v>
      </c>
      <c r="AC78" s="35"/>
    </row>
    <row r="79" spans="1:29" s="1" customFormat="1" ht="13.5" customHeight="1">
      <c r="A79" s="31" t="s">
        <v>129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87</v>
      </c>
      <c r="M79" s="32"/>
      <c r="N79" s="32"/>
      <c r="O79" s="32" t="s">
        <v>156</v>
      </c>
      <c r="P79" s="32"/>
      <c r="Q79" s="32"/>
      <c r="R79" s="33" t="s">
        <v>130</v>
      </c>
      <c r="S79" s="33"/>
      <c r="T79" s="34">
        <f>4145.3</f>
        <v>4145.3</v>
      </c>
      <c r="U79" s="34"/>
      <c r="V79" s="34"/>
      <c r="W79" s="36" t="s">
        <v>53</v>
      </c>
      <c r="X79" s="36"/>
      <c r="Y79" s="36"/>
      <c r="Z79" s="36"/>
      <c r="AA79" s="36"/>
      <c r="AB79" s="35">
        <f>4145.3</f>
        <v>4145.3</v>
      </c>
      <c r="AC79" s="35"/>
    </row>
    <row r="80" spans="1:29" s="1" customFormat="1" ht="13.5" customHeight="1">
      <c r="A80" s="31" t="s">
        <v>88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87</v>
      </c>
      <c r="M80" s="32"/>
      <c r="N80" s="32"/>
      <c r="O80" s="32" t="s">
        <v>157</v>
      </c>
      <c r="P80" s="32"/>
      <c r="Q80" s="32"/>
      <c r="R80" s="33" t="s">
        <v>90</v>
      </c>
      <c r="S80" s="33"/>
      <c r="T80" s="34">
        <f>17342.79</f>
        <v>17342.79</v>
      </c>
      <c r="U80" s="34"/>
      <c r="V80" s="34"/>
      <c r="W80" s="34">
        <f>3548.06</f>
        <v>3548.06</v>
      </c>
      <c r="X80" s="34"/>
      <c r="Y80" s="34"/>
      <c r="Z80" s="34"/>
      <c r="AA80" s="34"/>
      <c r="AB80" s="35">
        <f>13794.73</f>
        <v>13794.73</v>
      </c>
      <c r="AC80" s="35"/>
    </row>
    <row r="81" spans="1:29" s="1" customFormat="1" ht="13.5" customHeight="1">
      <c r="A81" s="31" t="s">
        <v>91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87</v>
      </c>
      <c r="M81" s="32"/>
      <c r="N81" s="32"/>
      <c r="O81" s="32" t="s">
        <v>158</v>
      </c>
      <c r="P81" s="32"/>
      <c r="Q81" s="32"/>
      <c r="R81" s="33" t="s">
        <v>93</v>
      </c>
      <c r="S81" s="33"/>
      <c r="T81" s="34">
        <f>5237.52</f>
        <v>5237.52</v>
      </c>
      <c r="U81" s="34"/>
      <c r="V81" s="34"/>
      <c r="W81" s="34">
        <f>2385.15</f>
        <v>2385.15</v>
      </c>
      <c r="X81" s="34"/>
      <c r="Y81" s="34"/>
      <c r="Z81" s="34"/>
      <c r="AA81" s="34"/>
      <c r="AB81" s="35">
        <f>2852.37</f>
        <v>2852.37</v>
      </c>
      <c r="AC81" s="35"/>
    </row>
    <row r="82" spans="1:29" s="1" customFormat="1" ht="13.5" customHeight="1">
      <c r="A82" s="31" t="s">
        <v>100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87</v>
      </c>
      <c r="M82" s="32"/>
      <c r="N82" s="32"/>
      <c r="O82" s="32" t="s">
        <v>159</v>
      </c>
      <c r="P82" s="32"/>
      <c r="Q82" s="32"/>
      <c r="R82" s="33" t="s">
        <v>101</v>
      </c>
      <c r="S82" s="33"/>
      <c r="T82" s="34">
        <f>10000</f>
        <v>10000</v>
      </c>
      <c r="U82" s="34"/>
      <c r="V82" s="34"/>
      <c r="W82" s="36" t="s">
        <v>53</v>
      </c>
      <c r="X82" s="36"/>
      <c r="Y82" s="36"/>
      <c r="Z82" s="36"/>
      <c r="AA82" s="36"/>
      <c r="AB82" s="35">
        <f>10000</f>
        <v>10000</v>
      </c>
      <c r="AC82" s="35"/>
    </row>
    <row r="83" spans="1:29" s="1" customFormat="1" ht="13.5" customHeight="1">
      <c r="A83" s="31" t="s">
        <v>97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87</v>
      </c>
      <c r="M83" s="32"/>
      <c r="N83" s="32"/>
      <c r="O83" s="32" t="s">
        <v>160</v>
      </c>
      <c r="P83" s="32"/>
      <c r="Q83" s="32"/>
      <c r="R83" s="33" t="s">
        <v>99</v>
      </c>
      <c r="S83" s="33"/>
      <c r="T83" s="34">
        <f>16790</f>
        <v>16790</v>
      </c>
      <c r="U83" s="34"/>
      <c r="V83" s="34"/>
      <c r="W83" s="36" t="s">
        <v>53</v>
      </c>
      <c r="X83" s="36"/>
      <c r="Y83" s="36"/>
      <c r="Z83" s="36"/>
      <c r="AA83" s="36"/>
      <c r="AB83" s="35">
        <f>16790</f>
        <v>16790</v>
      </c>
      <c r="AC83" s="35"/>
    </row>
    <row r="84" spans="1:29" s="1" customFormat="1" ht="13.5" customHeight="1">
      <c r="A84" s="31" t="s">
        <v>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87</v>
      </c>
      <c r="M84" s="32"/>
      <c r="N84" s="32"/>
      <c r="O84" s="32" t="s">
        <v>161</v>
      </c>
      <c r="P84" s="32"/>
      <c r="Q84" s="32"/>
      <c r="R84" s="33" t="s">
        <v>99</v>
      </c>
      <c r="S84" s="33"/>
      <c r="T84" s="34">
        <f>4200.12</f>
        <v>4200.12</v>
      </c>
      <c r="U84" s="34"/>
      <c r="V84" s="34"/>
      <c r="W84" s="36" t="s">
        <v>53</v>
      </c>
      <c r="X84" s="36"/>
      <c r="Y84" s="36"/>
      <c r="Z84" s="36"/>
      <c r="AA84" s="36"/>
      <c r="AB84" s="35">
        <f>4200.12</f>
        <v>4200.12</v>
      </c>
      <c r="AC84" s="35"/>
    </row>
    <row r="85" spans="1:29" s="1" customFormat="1" ht="13.5" customHeight="1">
      <c r="A85" s="31" t="s">
        <v>125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87</v>
      </c>
      <c r="M85" s="32"/>
      <c r="N85" s="32"/>
      <c r="O85" s="32" t="s">
        <v>162</v>
      </c>
      <c r="P85" s="32"/>
      <c r="Q85" s="32"/>
      <c r="R85" s="33" t="s">
        <v>126</v>
      </c>
      <c r="S85" s="33"/>
      <c r="T85" s="34">
        <f>270000</f>
        <v>270000</v>
      </c>
      <c r="U85" s="34"/>
      <c r="V85" s="34"/>
      <c r="W85" s="36" t="s">
        <v>53</v>
      </c>
      <c r="X85" s="36"/>
      <c r="Y85" s="36"/>
      <c r="Z85" s="36"/>
      <c r="AA85" s="36"/>
      <c r="AB85" s="35">
        <f>270000</f>
        <v>270000</v>
      </c>
      <c r="AC85" s="35"/>
    </row>
    <row r="86" spans="1:29" s="1" customFormat="1" ht="13.5" customHeight="1">
      <c r="A86" s="31" t="s">
        <v>129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87</v>
      </c>
      <c r="M86" s="32"/>
      <c r="N86" s="32"/>
      <c r="O86" s="32" t="s">
        <v>162</v>
      </c>
      <c r="P86" s="32"/>
      <c r="Q86" s="32"/>
      <c r="R86" s="33" t="s">
        <v>130</v>
      </c>
      <c r="S86" s="33"/>
      <c r="T86" s="34">
        <f>30000</f>
        <v>30000</v>
      </c>
      <c r="U86" s="34"/>
      <c r="V86" s="34"/>
      <c r="W86" s="34">
        <f>26482</f>
        <v>26482</v>
      </c>
      <c r="X86" s="34"/>
      <c r="Y86" s="34"/>
      <c r="Z86" s="34"/>
      <c r="AA86" s="34"/>
      <c r="AB86" s="35">
        <f>3518</f>
        <v>3518</v>
      </c>
      <c r="AC86" s="35"/>
    </row>
    <row r="87" spans="1:29" s="1" customFormat="1" ht="24" customHeight="1">
      <c r="A87" s="31" t="s">
        <v>139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87</v>
      </c>
      <c r="M87" s="32"/>
      <c r="N87" s="32"/>
      <c r="O87" s="32" t="s">
        <v>162</v>
      </c>
      <c r="P87" s="32"/>
      <c r="Q87" s="32"/>
      <c r="R87" s="33" t="s">
        <v>140</v>
      </c>
      <c r="S87" s="33"/>
      <c r="T87" s="34">
        <f>10000</f>
        <v>10000</v>
      </c>
      <c r="U87" s="34"/>
      <c r="V87" s="34"/>
      <c r="W87" s="36" t="s">
        <v>53</v>
      </c>
      <c r="X87" s="36"/>
      <c r="Y87" s="36"/>
      <c r="Z87" s="36"/>
      <c r="AA87" s="36"/>
      <c r="AB87" s="35">
        <f>10000</f>
        <v>10000</v>
      </c>
      <c r="AC87" s="35"/>
    </row>
    <row r="88" spans="1:29" s="1" customFormat="1" ht="13.5" customHeight="1">
      <c r="A88" s="31" t="s">
        <v>88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87</v>
      </c>
      <c r="M88" s="32"/>
      <c r="N88" s="32"/>
      <c r="O88" s="32" t="s">
        <v>163</v>
      </c>
      <c r="P88" s="32"/>
      <c r="Q88" s="32"/>
      <c r="R88" s="33" t="s">
        <v>90</v>
      </c>
      <c r="S88" s="33"/>
      <c r="T88" s="34">
        <f>264091.66</f>
        <v>264091.66</v>
      </c>
      <c r="U88" s="34"/>
      <c r="V88" s="34"/>
      <c r="W88" s="34">
        <f>31859.9</f>
        <v>31859.9</v>
      </c>
      <c r="X88" s="34"/>
      <c r="Y88" s="34"/>
      <c r="Z88" s="34"/>
      <c r="AA88" s="34"/>
      <c r="AB88" s="35">
        <f>232231.76</f>
        <v>232231.76</v>
      </c>
      <c r="AC88" s="35"/>
    </row>
    <row r="89" spans="1:29" s="1" customFormat="1" ht="13.5" customHeight="1">
      <c r="A89" s="31" t="s">
        <v>91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87</v>
      </c>
      <c r="M89" s="32"/>
      <c r="N89" s="32"/>
      <c r="O89" s="32" t="s">
        <v>164</v>
      </c>
      <c r="P89" s="32"/>
      <c r="Q89" s="32"/>
      <c r="R89" s="33" t="s">
        <v>93</v>
      </c>
      <c r="S89" s="33"/>
      <c r="T89" s="34">
        <f>79729.34</f>
        <v>79729.34</v>
      </c>
      <c r="U89" s="34"/>
      <c r="V89" s="34"/>
      <c r="W89" s="34">
        <f>9621.7</f>
        <v>9621.7</v>
      </c>
      <c r="X89" s="34"/>
      <c r="Y89" s="34"/>
      <c r="Z89" s="34"/>
      <c r="AA89" s="34"/>
      <c r="AB89" s="35">
        <f>70107.64</f>
        <v>70107.64</v>
      </c>
      <c r="AC89" s="35"/>
    </row>
    <row r="90" spans="1:29" s="1" customFormat="1" ht="13.5" customHeight="1">
      <c r="A90" s="31" t="s">
        <v>88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87</v>
      </c>
      <c r="M90" s="32"/>
      <c r="N90" s="32"/>
      <c r="O90" s="32" t="s">
        <v>165</v>
      </c>
      <c r="P90" s="32"/>
      <c r="Q90" s="32"/>
      <c r="R90" s="33" t="s">
        <v>90</v>
      </c>
      <c r="S90" s="33"/>
      <c r="T90" s="34">
        <f>397248.44</f>
        <v>397248.44</v>
      </c>
      <c r="U90" s="34"/>
      <c r="V90" s="34"/>
      <c r="W90" s="34">
        <f>106096.9</f>
        <v>106096.9</v>
      </c>
      <c r="X90" s="34"/>
      <c r="Y90" s="34"/>
      <c r="Z90" s="34"/>
      <c r="AA90" s="34"/>
      <c r="AB90" s="35">
        <f>291151.54</f>
        <v>291151.54</v>
      </c>
      <c r="AC90" s="35"/>
    </row>
    <row r="91" spans="1:29" s="1" customFormat="1" ht="13.5" customHeight="1">
      <c r="A91" s="31" t="s">
        <v>91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87</v>
      </c>
      <c r="M91" s="32"/>
      <c r="N91" s="32"/>
      <c r="O91" s="32" t="s">
        <v>166</v>
      </c>
      <c r="P91" s="32"/>
      <c r="Q91" s="32"/>
      <c r="R91" s="33" t="s">
        <v>93</v>
      </c>
      <c r="S91" s="33"/>
      <c r="T91" s="34">
        <f>119969.03</f>
        <v>119969.03</v>
      </c>
      <c r="U91" s="34"/>
      <c r="V91" s="34"/>
      <c r="W91" s="34">
        <f>32041.31</f>
        <v>32041.31</v>
      </c>
      <c r="X91" s="34"/>
      <c r="Y91" s="34"/>
      <c r="Z91" s="34"/>
      <c r="AA91" s="34"/>
      <c r="AB91" s="35">
        <f>87927.72</f>
        <v>87927.72</v>
      </c>
      <c r="AC91" s="35"/>
    </row>
    <row r="92" spans="1:29" s="1" customFormat="1" ht="13.5" customHeight="1">
      <c r="A92" s="31" t="s">
        <v>125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87</v>
      </c>
      <c r="M92" s="32"/>
      <c r="N92" s="32"/>
      <c r="O92" s="32" t="s">
        <v>167</v>
      </c>
      <c r="P92" s="32"/>
      <c r="Q92" s="32"/>
      <c r="R92" s="33" t="s">
        <v>126</v>
      </c>
      <c r="S92" s="33"/>
      <c r="T92" s="34">
        <f>2550000</f>
        <v>2550000</v>
      </c>
      <c r="U92" s="34"/>
      <c r="V92" s="34"/>
      <c r="W92" s="34">
        <f>599164</f>
        <v>599164</v>
      </c>
      <c r="X92" s="34"/>
      <c r="Y92" s="34"/>
      <c r="Z92" s="34"/>
      <c r="AA92" s="34"/>
      <c r="AB92" s="35">
        <f>1950836</f>
        <v>1950836</v>
      </c>
      <c r="AC92" s="35"/>
    </row>
    <row r="93" spans="1:29" s="1" customFormat="1" ht="13.5" customHeight="1">
      <c r="A93" s="31" t="s">
        <v>125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87</v>
      </c>
      <c r="M93" s="32"/>
      <c r="N93" s="32"/>
      <c r="O93" s="32" t="s">
        <v>168</v>
      </c>
      <c r="P93" s="32"/>
      <c r="Q93" s="32"/>
      <c r="R93" s="33" t="s">
        <v>126</v>
      </c>
      <c r="S93" s="33"/>
      <c r="T93" s="34">
        <f>887100</f>
        <v>887100</v>
      </c>
      <c r="U93" s="34"/>
      <c r="V93" s="34"/>
      <c r="W93" s="36" t="s">
        <v>53</v>
      </c>
      <c r="X93" s="36"/>
      <c r="Y93" s="36"/>
      <c r="Z93" s="36"/>
      <c r="AA93" s="36"/>
      <c r="AB93" s="35">
        <f>887100</f>
        <v>887100</v>
      </c>
      <c r="AC93" s="35"/>
    </row>
    <row r="94" spans="1:29" s="1" customFormat="1" ht="13.5" customHeight="1">
      <c r="A94" s="31" t="s">
        <v>137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87</v>
      </c>
      <c r="M94" s="32"/>
      <c r="N94" s="32"/>
      <c r="O94" s="32" t="s">
        <v>168</v>
      </c>
      <c r="P94" s="32"/>
      <c r="Q94" s="32"/>
      <c r="R94" s="33" t="s">
        <v>138</v>
      </c>
      <c r="S94" s="33"/>
      <c r="T94" s="34">
        <f>300000</f>
        <v>300000</v>
      </c>
      <c r="U94" s="34"/>
      <c r="V94" s="34"/>
      <c r="W94" s="34">
        <f>1020</f>
        <v>1020</v>
      </c>
      <c r="X94" s="34"/>
      <c r="Y94" s="34"/>
      <c r="Z94" s="34"/>
      <c r="AA94" s="34"/>
      <c r="AB94" s="35">
        <f>298980</f>
        <v>298980</v>
      </c>
      <c r="AC94" s="35"/>
    </row>
    <row r="95" spans="1:29" s="1" customFormat="1" ht="13.5" customHeight="1">
      <c r="A95" s="31" t="s">
        <v>125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87</v>
      </c>
      <c r="M95" s="32"/>
      <c r="N95" s="32"/>
      <c r="O95" s="32" t="s">
        <v>169</v>
      </c>
      <c r="P95" s="32"/>
      <c r="Q95" s="32"/>
      <c r="R95" s="33" t="s">
        <v>126</v>
      </c>
      <c r="S95" s="33"/>
      <c r="T95" s="34">
        <f>645019.89</f>
        <v>645019.89</v>
      </c>
      <c r="U95" s="34"/>
      <c r="V95" s="34"/>
      <c r="W95" s="36" t="s">
        <v>53</v>
      </c>
      <c r="X95" s="36"/>
      <c r="Y95" s="36"/>
      <c r="Z95" s="36"/>
      <c r="AA95" s="36"/>
      <c r="AB95" s="35">
        <f>645019.89</f>
        <v>645019.89</v>
      </c>
      <c r="AC95" s="35"/>
    </row>
    <row r="96" spans="1:29" s="1" customFormat="1" ht="13.5" customHeight="1">
      <c r="A96" s="31" t="s">
        <v>103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87</v>
      </c>
      <c r="M96" s="32"/>
      <c r="N96" s="32"/>
      <c r="O96" s="32" t="s">
        <v>170</v>
      </c>
      <c r="P96" s="32"/>
      <c r="Q96" s="32"/>
      <c r="R96" s="33" t="s">
        <v>105</v>
      </c>
      <c r="S96" s="33"/>
      <c r="T96" s="34">
        <f>750000</f>
        <v>750000</v>
      </c>
      <c r="U96" s="34"/>
      <c r="V96" s="34"/>
      <c r="W96" s="36" t="s">
        <v>53</v>
      </c>
      <c r="X96" s="36"/>
      <c r="Y96" s="36"/>
      <c r="Z96" s="36"/>
      <c r="AA96" s="36"/>
      <c r="AB96" s="35">
        <f>750000</f>
        <v>750000</v>
      </c>
      <c r="AC96" s="35"/>
    </row>
    <row r="97" spans="1:29" s="1" customFormat="1" ht="13.5" customHeight="1">
      <c r="A97" s="31" t="s">
        <v>100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87</v>
      </c>
      <c r="M97" s="32"/>
      <c r="N97" s="32"/>
      <c r="O97" s="32" t="s">
        <v>171</v>
      </c>
      <c r="P97" s="32"/>
      <c r="Q97" s="32"/>
      <c r="R97" s="33" t="s">
        <v>101</v>
      </c>
      <c r="S97" s="33"/>
      <c r="T97" s="34">
        <f>350000</f>
        <v>350000</v>
      </c>
      <c r="U97" s="34"/>
      <c r="V97" s="34"/>
      <c r="W97" s="34">
        <f>156990</f>
        <v>156990</v>
      </c>
      <c r="X97" s="34"/>
      <c r="Y97" s="34"/>
      <c r="Z97" s="34"/>
      <c r="AA97" s="34"/>
      <c r="AB97" s="35">
        <f>193010</f>
        <v>193010</v>
      </c>
      <c r="AC97" s="35"/>
    </row>
    <row r="98" spans="1:29" s="1" customFormat="1" ht="13.5" customHeight="1">
      <c r="A98" s="31" t="s">
        <v>118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87</v>
      </c>
      <c r="M98" s="32"/>
      <c r="N98" s="32"/>
      <c r="O98" s="32" t="s">
        <v>172</v>
      </c>
      <c r="P98" s="32"/>
      <c r="Q98" s="32"/>
      <c r="R98" s="33" t="s">
        <v>120</v>
      </c>
      <c r="S98" s="33"/>
      <c r="T98" s="34">
        <f>109855</f>
        <v>109855</v>
      </c>
      <c r="U98" s="34"/>
      <c r="V98" s="34"/>
      <c r="W98" s="34">
        <f>24960.88</f>
        <v>24960.88</v>
      </c>
      <c r="X98" s="34"/>
      <c r="Y98" s="34"/>
      <c r="Z98" s="34"/>
      <c r="AA98" s="34"/>
      <c r="AB98" s="35">
        <f>84894.12</f>
        <v>84894.12</v>
      </c>
      <c r="AC98" s="35"/>
    </row>
    <row r="99" spans="1:29" s="1" customFormat="1" ht="13.5" customHeight="1">
      <c r="A99" s="31" t="s">
        <v>125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87</v>
      </c>
      <c r="M99" s="32"/>
      <c r="N99" s="32"/>
      <c r="O99" s="32" t="s">
        <v>172</v>
      </c>
      <c r="P99" s="32"/>
      <c r="Q99" s="32"/>
      <c r="R99" s="33" t="s">
        <v>126</v>
      </c>
      <c r="S99" s="33"/>
      <c r="T99" s="34">
        <f>50000</f>
        <v>50000</v>
      </c>
      <c r="U99" s="34"/>
      <c r="V99" s="34"/>
      <c r="W99" s="36" t="s">
        <v>53</v>
      </c>
      <c r="X99" s="36"/>
      <c r="Y99" s="36"/>
      <c r="Z99" s="36"/>
      <c r="AA99" s="36"/>
      <c r="AB99" s="35">
        <f>50000</f>
        <v>50000</v>
      </c>
      <c r="AC99" s="35"/>
    </row>
    <row r="100" spans="1:29" s="1" customFormat="1" ht="13.5" customHeight="1">
      <c r="A100" s="31" t="s">
        <v>137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87</v>
      </c>
      <c r="M100" s="32"/>
      <c r="N100" s="32"/>
      <c r="O100" s="32" t="s">
        <v>172</v>
      </c>
      <c r="P100" s="32"/>
      <c r="Q100" s="32"/>
      <c r="R100" s="33" t="s">
        <v>138</v>
      </c>
      <c r="S100" s="33"/>
      <c r="T100" s="34">
        <f>207654.8</f>
        <v>207654.8</v>
      </c>
      <c r="U100" s="34"/>
      <c r="V100" s="34"/>
      <c r="W100" s="34">
        <f>207654.8</f>
        <v>207654.8</v>
      </c>
      <c r="X100" s="34"/>
      <c r="Y100" s="34"/>
      <c r="Z100" s="34"/>
      <c r="AA100" s="34"/>
      <c r="AB100" s="35">
        <f>0</f>
        <v>0</v>
      </c>
      <c r="AC100" s="35"/>
    </row>
    <row r="101" spans="1:29" s="1" customFormat="1" ht="13.5" customHeight="1">
      <c r="A101" s="31" t="s">
        <v>121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87</v>
      </c>
      <c r="M101" s="32"/>
      <c r="N101" s="32"/>
      <c r="O101" s="32" t="s">
        <v>173</v>
      </c>
      <c r="P101" s="32"/>
      <c r="Q101" s="32"/>
      <c r="R101" s="33" t="s">
        <v>122</v>
      </c>
      <c r="S101" s="33"/>
      <c r="T101" s="34">
        <f>24000</f>
        <v>24000</v>
      </c>
      <c r="U101" s="34"/>
      <c r="V101" s="34"/>
      <c r="W101" s="36" t="s">
        <v>53</v>
      </c>
      <c r="X101" s="36"/>
      <c r="Y101" s="36"/>
      <c r="Z101" s="36"/>
      <c r="AA101" s="36"/>
      <c r="AB101" s="35">
        <f>24000</f>
        <v>24000</v>
      </c>
      <c r="AC101" s="35"/>
    </row>
    <row r="102" spans="1:29" s="1" customFormat="1" ht="13.5" customHeight="1">
      <c r="A102" s="31" t="s">
        <v>133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87</v>
      </c>
      <c r="M102" s="32"/>
      <c r="N102" s="32"/>
      <c r="O102" s="32" t="s">
        <v>173</v>
      </c>
      <c r="P102" s="32"/>
      <c r="Q102" s="32"/>
      <c r="R102" s="33" t="s">
        <v>134</v>
      </c>
      <c r="S102" s="33"/>
      <c r="T102" s="34">
        <f>95400</f>
        <v>95400</v>
      </c>
      <c r="U102" s="34"/>
      <c r="V102" s="34"/>
      <c r="W102" s="36" t="s">
        <v>53</v>
      </c>
      <c r="X102" s="36"/>
      <c r="Y102" s="36"/>
      <c r="Z102" s="36"/>
      <c r="AA102" s="36"/>
      <c r="AB102" s="35">
        <f>95400</f>
        <v>95400</v>
      </c>
      <c r="AC102" s="35"/>
    </row>
    <row r="103" spans="1:29" s="1" customFormat="1" ht="13.5" customHeight="1">
      <c r="A103" s="31" t="s">
        <v>137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87</v>
      </c>
      <c r="M103" s="32"/>
      <c r="N103" s="32"/>
      <c r="O103" s="32" t="s">
        <v>174</v>
      </c>
      <c r="P103" s="32"/>
      <c r="Q103" s="32"/>
      <c r="R103" s="33" t="s">
        <v>138</v>
      </c>
      <c r="S103" s="33"/>
      <c r="T103" s="34">
        <f>100000</f>
        <v>100000</v>
      </c>
      <c r="U103" s="34"/>
      <c r="V103" s="34"/>
      <c r="W103" s="36" t="s">
        <v>53</v>
      </c>
      <c r="X103" s="36"/>
      <c r="Y103" s="36"/>
      <c r="Z103" s="36"/>
      <c r="AA103" s="36"/>
      <c r="AB103" s="35">
        <f>100000</f>
        <v>100000</v>
      </c>
      <c r="AC103" s="35"/>
    </row>
    <row r="104" spans="1:29" s="1" customFormat="1" ht="13.5" customHeight="1">
      <c r="A104" s="31" t="s">
        <v>100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87</v>
      </c>
      <c r="M104" s="32"/>
      <c r="N104" s="32"/>
      <c r="O104" s="32" t="s">
        <v>175</v>
      </c>
      <c r="P104" s="32"/>
      <c r="Q104" s="32"/>
      <c r="R104" s="33" t="s">
        <v>101</v>
      </c>
      <c r="S104" s="33"/>
      <c r="T104" s="34">
        <f>180600</f>
        <v>180600</v>
      </c>
      <c r="U104" s="34"/>
      <c r="V104" s="34"/>
      <c r="W104" s="34">
        <f>73161.59</f>
        <v>73161.59</v>
      </c>
      <c r="X104" s="34"/>
      <c r="Y104" s="34"/>
      <c r="Z104" s="34"/>
      <c r="AA104" s="34"/>
      <c r="AB104" s="35">
        <f>107438.41</f>
        <v>107438.41</v>
      </c>
      <c r="AC104" s="35"/>
    </row>
    <row r="105" spans="1:29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87</v>
      </c>
      <c r="M105" s="32"/>
      <c r="N105" s="32"/>
      <c r="O105" s="32" t="s">
        <v>176</v>
      </c>
      <c r="P105" s="32"/>
      <c r="Q105" s="32"/>
      <c r="R105" s="33" t="s">
        <v>124</v>
      </c>
      <c r="S105" s="33"/>
      <c r="T105" s="34">
        <f>2000</f>
        <v>2000</v>
      </c>
      <c r="U105" s="34"/>
      <c r="V105" s="34"/>
      <c r="W105" s="34">
        <f>129.16</f>
        <v>129.16</v>
      </c>
      <c r="X105" s="34"/>
      <c r="Y105" s="34"/>
      <c r="Z105" s="34"/>
      <c r="AA105" s="34"/>
      <c r="AB105" s="35">
        <f>1870.84</f>
        <v>1870.84</v>
      </c>
      <c r="AC105" s="35"/>
    </row>
    <row r="106" spans="1:29" s="1" customFormat="1" ht="13.5" customHeight="1">
      <c r="A106" s="31" t="s">
        <v>125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87</v>
      </c>
      <c r="M106" s="32"/>
      <c r="N106" s="32"/>
      <c r="O106" s="32" t="s">
        <v>176</v>
      </c>
      <c r="P106" s="32"/>
      <c r="Q106" s="32"/>
      <c r="R106" s="33" t="s">
        <v>126</v>
      </c>
      <c r="S106" s="33"/>
      <c r="T106" s="34">
        <f>10974.53</f>
        <v>10974.53</v>
      </c>
      <c r="U106" s="34"/>
      <c r="V106" s="34"/>
      <c r="W106" s="34">
        <f>10974.53</f>
        <v>10974.53</v>
      </c>
      <c r="X106" s="34"/>
      <c r="Y106" s="34"/>
      <c r="Z106" s="34"/>
      <c r="AA106" s="34"/>
      <c r="AB106" s="35">
        <f>0</f>
        <v>0</v>
      </c>
      <c r="AC106" s="35"/>
    </row>
    <row r="107" spans="1:29" s="1" customFormat="1" ht="13.5" customHeight="1">
      <c r="A107" s="31" t="s">
        <v>125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87</v>
      </c>
      <c r="M107" s="32"/>
      <c r="N107" s="32"/>
      <c r="O107" s="32" t="s">
        <v>177</v>
      </c>
      <c r="P107" s="32"/>
      <c r="Q107" s="32"/>
      <c r="R107" s="33" t="s">
        <v>126</v>
      </c>
      <c r="S107" s="33"/>
      <c r="T107" s="34">
        <f>100000</f>
        <v>100000</v>
      </c>
      <c r="U107" s="34"/>
      <c r="V107" s="34"/>
      <c r="W107" s="34">
        <f>16402.32</f>
        <v>16402.32</v>
      </c>
      <c r="X107" s="34"/>
      <c r="Y107" s="34"/>
      <c r="Z107" s="34"/>
      <c r="AA107" s="34"/>
      <c r="AB107" s="35">
        <f>83597.68</f>
        <v>83597.68</v>
      </c>
      <c r="AC107" s="35"/>
    </row>
    <row r="108" spans="1:29" s="1" customFormat="1" ht="24" customHeight="1">
      <c r="A108" s="31" t="s">
        <v>178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87</v>
      </c>
      <c r="M108" s="32"/>
      <c r="N108" s="32"/>
      <c r="O108" s="32" t="s">
        <v>179</v>
      </c>
      <c r="P108" s="32"/>
      <c r="Q108" s="32"/>
      <c r="R108" s="33" t="s">
        <v>180</v>
      </c>
      <c r="S108" s="33"/>
      <c r="T108" s="34">
        <f>20000</f>
        <v>20000</v>
      </c>
      <c r="U108" s="34"/>
      <c r="V108" s="34"/>
      <c r="W108" s="36" t="s">
        <v>53</v>
      </c>
      <c r="X108" s="36"/>
      <c r="Y108" s="36"/>
      <c r="Z108" s="36"/>
      <c r="AA108" s="36"/>
      <c r="AB108" s="35">
        <f>20000</f>
        <v>20000</v>
      </c>
      <c r="AC108" s="35"/>
    </row>
    <row r="109" spans="1:29" s="1" customFormat="1" ht="13.5" customHeight="1">
      <c r="A109" s="31" t="s">
        <v>103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87</v>
      </c>
      <c r="M109" s="32"/>
      <c r="N109" s="32"/>
      <c r="O109" s="32" t="s">
        <v>181</v>
      </c>
      <c r="P109" s="32"/>
      <c r="Q109" s="32"/>
      <c r="R109" s="33" t="s">
        <v>105</v>
      </c>
      <c r="S109" s="33"/>
      <c r="T109" s="34">
        <f>1515654.99</f>
        <v>1515654.99</v>
      </c>
      <c r="U109" s="34"/>
      <c r="V109" s="34"/>
      <c r="W109" s="36" t="s">
        <v>53</v>
      </c>
      <c r="X109" s="36"/>
      <c r="Y109" s="36"/>
      <c r="Z109" s="36"/>
      <c r="AA109" s="36"/>
      <c r="AB109" s="35">
        <f>1515654.99</f>
        <v>1515654.99</v>
      </c>
      <c r="AC109" s="35"/>
    </row>
    <row r="110" spans="1:29" s="1" customFormat="1" ht="13.5" customHeight="1">
      <c r="A110" s="31" t="s">
        <v>103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87</v>
      </c>
      <c r="M110" s="32"/>
      <c r="N110" s="32"/>
      <c r="O110" s="32" t="s">
        <v>182</v>
      </c>
      <c r="P110" s="32"/>
      <c r="Q110" s="32"/>
      <c r="R110" s="33" t="s">
        <v>105</v>
      </c>
      <c r="S110" s="33"/>
      <c r="T110" s="34">
        <f>168410</f>
        <v>168410</v>
      </c>
      <c r="U110" s="34"/>
      <c r="V110" s="34"/>
      <c r="W110" s="36" t="s">
        <v>53</v>
      </c>
      <c r="X110" s="36"/>
      <c r="Y110" s="36"/>
      <c r="Z110" s="36"/>
      <c r="AA110" s="36"/>
      <c r="AB110" s="35">
        <f>168410</f>
        <v>168410</v>
      </c>
      <c r="AC110" s="35"/>
    </row>
    <row r="111" spans="1:29" s="1" customFormat="1" ht="13.5" customHeight="1">
      <c r="A111" s="31" t="s">
        <v>123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87</v>
      </c>
      <c r="M111" s="32"/>
      <c r="N111" s="32"/>
      <c r="O111" s="32" t="s">
        <v>183</v>
      </c>
      <c r="P111" s="32"/>
      <c r="Q111" s="32"/>
      <c r="R111" s="33" t="s">
        <v>124</v>
      </c>
      <c r="S111" s="33"/>
      <c r="T111" s="34">
        <f>2000000</f>
        <v>2000000</v>
      </c>
      <c r="U111" s="34"/>
      <c r="V111" s="34"/>
      <c r="W111" s="34">
        <f>427033.65</f>
        <v>427033.65</v>
      </c>
      <c r="X111" s="34"/>
      <c r="Y111" s="34"/>
      <c r="Z111" s="34"/>
      <c r="AA111" s="34"/>
      <c r="AB111" s="35">
        <f>1572966.35</f>
        <v>1572966.35</v>
      </c>
      <c r="AC111" s="35"/>
    </row>
    <row r="112" spans="1:29" s="1" customFormat="1" ht="13.5" customHeight="1">
      <c r="A112" s="31" t="s">
        <v>137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87</v>
      </c>
      <c r="M112" s="32"/>
      <c r="N112" s="32"/>
      <c r="O112" s="32" t="s">
        <v>184</v>
      </c>
      <c r="P112" s="32"/>
      <c r="Q112" s="32"/>
      <c r="R112" s="33" t="s">
        <v>138</v>
      </c>
      <c r="S112" s="33"/>
      <c r="T112" s="34">
        <f>30000</f>
        <v>30000</v>
      </c>
      <c r="U112" s="34"/>
      <c r="V112" s="34"/>
      <c r="W112" s="34">
        <f>30000</f>
        <v>30000</v>
      </c>
      <c r="X112" s="34"/>
      <c r="Y112" s="34"/>
      <c r="Z112" s="34"/>
      <c r="AA112" s="34"/>
      <c r="AB112" s="35">
        <f>0</f>
        <v>0</v>
      </c>
      <c r="AC112" s="35"/>
    </row>
    <row r="113" spans="1:29" s="1" customFormat="1" ht="13.5" customHeight="1">
      <c r="A113" s="31" t="s">
        <v>125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87</v>
      </c>
      <c r="M113" s="32"/>
      <c r="N113" s="32"/>
      <c r="O113" s="32" t="s">
        <v>185</v>
      </c>
      <c r="P113" s="32"/>
      <c r="Q113" s="32"/>
      <c r="R113" s="33" t="s">
        <v>126</v>
      </c>
      <c r="S113" s="33"/>
      <c r="T113" s="34">
        <f>300000</f>
        <v>300000</v>
      </c>
      <c r="U113" s="34"/>
      <c r="V113" s="34"/>
      <c r="W113" s="34">
        <f>64732.05</f>
        <v>64732.05</v>
      </c>
      <c r="X113" s="34"/>
      <c r="Y113" s="34"/>
      <c r="Z113" s="34"/>
      <c r="AA113" s="34"/>
      <c r="AB113" s="35">
        <f>235267.95</f>
        <v>235267.95</v>
      </c>
      <c r="AC113" s="35"/>
    </row>
    <row r="114" spans="1:29" s="1" customFormat="1" ht="24" customHeight="1">
      <c r="A114" s="31" t="s">
        <v>139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87</v>
      </c>
      <c r="M114" s="32"/>
      <c r="N114" s="32"/>
      <c r="O114" s="32" t="s">
        <v>186</v>
      </c>
      <c r="P114" s="32"/>
      <c r="Q114" s="32"/>
      <c r="R114" s="33" t="s">
        <v>140</v>
      </c>
      <c r="S114" s="33"/>
      <c r="T114" s="34">
        <f>30000</f>
        <v>30000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30000</f>
        <v>30000</v>
      </c>
      <c r="AC114" s="35"/>
    </row>
    <row r="115" spans="1:29" s="1" customFormat="1" ht="13.5" customHeight="1">
      <c r="A115" s="31" t="s">
        <v>125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87</v>
      </c>
      <c r="M115" s="32"/>
      <c r="N115" s="32"/>
      <c r="O115" s="32" t="s">
        <v>187</v>
      </c>
      <c r="P115" s="32"/>
      <c r="Q115" s="32"/>
      <c r="R115" s="33" t="s">
        <v>126</v>
      </c>
      <c r="S115" s="33"/>
      <c r="T115" s="34">
        <f>350000</f>
        <v>350000</v>
      </c>
      <c r="U115" s="34"/>
      <c r="V115" s="34"/>
      <c r="W115" s="34">
        <f>117057.46</f>
        <v>117057.46</v>
      </c>
      <c r="X115" s="34"/>
      <c r="Y115" s="34"/>
      <c r="Z115" s="34"/>
      <c r="AA115" s="34"/>
      <c r="AB115" s="35">
        <f>232942.54</f>
        <v>232942.54</v>
      </c>
      <c r="AC115" s="35"/>
    </row>
    <row r="116" spans="1:29" s="1" customFormat="1" ht="13.5" customHeight="1">
      <c r="A116" s="31" t="s">
        <v>137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87</v>
      </c>
      <c r="M116" s="32"/>
      <c r="N116" s="32"/>
      <c r="O116" s="32" t="s">
        <v>187</v>
      </c>
      <c r="P116" s="32"/>
      <c r="Q116" s="32"/>
      <c r="R116" s="33" t="s">
        <v>138</v>
      </c>
      <c r="S116" s="33"/>
      <c r="T116" s="34">
        <f>200000</f>
        <v>200000</v>
      </c>
      <c r="U116" s="34"/>
      <c r="V116" s="34"/>
      <c r="W116" s="34">
        <f>156480</f>
        <v>156480</v>
      </c>
      <c r="X116" s="34"/>
      <c r="Y116" s="34"/>
      <c r="Z116" s="34"/>
      <c r="AA116" s="34"/>
      <c r="AB116" s="35">
        <f>43520</f>
        <v>43520</v>
      </c>
      <c r="AC116" s="35"/>
    </row>
    <row r="117" spans="1:29" s="1" customFormat="1" ht="13.5" customHeight="1">
      <c r="A117" s="31" t="s">
        <v>125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87</v>
      </c>
      <c r="M117" s="32"/>
      <c r="N117" s="32"/>
      <c r="O117" s="32" t="s">
        <v>188</v>
      </c>
      <c r="P117" s="32"/>
      <c r="Q117" s="32"/>
      <c r="R117" s="33" t="s">
        <v>126</v>
      </c>
      <c r="S117" s="33"/>
      <c r="T117" s="34">
        <f>950000</f>
        <v>950000</v>
      </c>
      <c r="U117" s="34"/>
      <c r="V117" s="34"/>
      <c r="W117" s="36" t="s">
        <v>53</v>
      </c>
      <c r="X117" s="36"/>
      <c r="Y117" s="36"/>
      <c r="Z117" s="36"/>
      <c r="AA117" s="36"/>
      <c r="AB117" s="35">
        <f>950000</f>
        <v>950000</v>
      </c>
      <c r="AC117" s="35"/>
    </row>
    <row r="118" spans="1:29" s="1" customFormat="1" ht="13.5" customHeight="1">
      <c r="A118" s="31" t="s">
        <v>103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87</v>
      </c>
      <c r="M118" s="32"/>
      <c r="N118" s="32"/>
      <c r="O118" s="32" t="s">
        <v>189</v>
      </c>
      <c r="P118" s="32"/>
      <c r="Q118" s="32"/>
      <c r="R118" s="33" t="s">
        <v>105</v>
      </c>
      <c r="S118" s="33"/>
      <c r="T118" s="34">
        <f>254667</f>
        <v>254667</v>
      </c>
      <c r="U118" s="34"/>
      <c r="V118" s="34"/>
      <c r="W118" s="34">
        <f>63666.75</f>
        <v>63666.75</v>
      </c>
      <c r="X118" s="34"/>
      <c r="Y118" s="34"/>
      <c r="Z118" s="34"/>
      <c r="AA118" s="34"/>
      <c r="AB118" s="35">
        <f>191000.25</f>
        <v>191000.25</v>
      </c>
      <c r="AC118" s="35"/>
    </row>
    <row r="119" spans="1:29" s="1" customFormat="1" ht="13.5" customHeight="1">
      <c r="A119" s="31" t="s">
        <v>103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87</v>
      </c>
      <c r="M119" s="32"/>
      <c r="N119" s="32"/>
      <c r="O119" s="32" t="s">
        <v>190</v>
      </c>
      <c r="P119" s="32"/>
      <c r="Q119" s="32"/>
      <c r="R119" s="33" t="s">
        <v>105</v>
      </c>
      <c r="S119" s="33"/>
      <c r="T119" s="34">
        <f>1226312</f>
        <v>1226312</v>
      </c>
      <c r="U119" s="34"/>
      <c r="V119" s="34"/>
      <c r="W119" s="34">
        <f>573.5</f>
        <v>573.5</v>
      </c>
      <c r="X119" s="34"/>
      <c r="Y119" s="34"/>
      <c r="Z119" s="34"/>
      <c r="AA119" s="34"/>
      <c r="AB119" s="35">
        <f>1225738.5</f>
        <v>1225738.5</v>
      </c>
      <c r="AC119" s="35"/>
    </row>
    <row r="120" spans="1:29" s="1" customFormat="1" ht="13.5" customHeight="1">
      <c r="A120" s="31" t="s">
        <v>103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87</v>
      </c>
      <c r="M120" s="32"/>
      <c r="N120" s="32"/>
      <c r="O120" s="32" t="s">
        <v>191</v>
      </c>
      <c r="P120" s="32"/>
      <c r="Q120" s="32"/>
      <c r="R120" s="33" t="s">
        <v>105</v>
      </c>
      <c r="S120" s="33"/>
      <c r="T120" s="34">
        <f>72900</f>
        <v>72900</v>
      </c>
      <c r="U120" s="34"/>
      <c r="V120" s="34"/>
      <c r="W120" s="36" t="s">
        <v>53</v>
      </c>
      <c r="X120" s="36"/>
      <c r="Y120" s="36"/>
      <c r="Z120" s="36"/>
      <c r="AA120" s="36"/>
      <c r="AB120" s="35">
        <f>72900</f>
        <v>72900</v>
      </c>
      <c r="AC120" s="35"/>
    </row>
    <row r="121" spans="1:29" s="1" customFormat="1" ht="13.5" customHeight="1">
      <c r="A121" s="31" t="s">
        <v>88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87</v>
      </c>
      <c r="M121" s="32"/>
      <c r="N121" s="32"/>
      <c r="O121" s="32" t="s">
        <v>192</v>
      </c>
      <c r="P121" s="32"/>
      <c r="Q121" s="32"/>
      <c r="R121" s="33" t="s">
        <v>90</v>
      </c>
      <c r="S121" s="33"/>
      <c r="T121" s="34">
        <f>4622951.76</f>
        <v>4622951.76</v>
      </c>
      <c r="U121" s="34"/>
      <c r="V121" s="34"/>
      <c r="W121" s="34">
        <f>1062568.6</f>
        <v>1062568.6</v>
      </c>
      <c r="X121" s="34"/>
      <c r="Y121" s="34"/>
      <c r="Z121" s="34"/>
      <c r="AA121" s="34"/>
      <c r="AB121" s="35">
        <f>3560383.16</f>
        <v>3560383.16</v>
      </c>
      <c r="AC121" s="35"/>
    </row>
    <row r="122" spans="1:29" s="1" customFormat="1" ht="13.5" customHeight="1">
      <c r="A122" s="31" t="s">
        <v>95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87</v>
      </c>
      <c r="M122" s="32"/>
      <c r="N122" s="32"/>
      <c r="O122" s="32" t="s">
        <v>192</v>
      </c>
      <c r="P122" s="32"/>
      <c r="Q122" s="32"/>
      <c r="R122" s="33" t="s">
        <v>96</v>
      </c>
      <c r="S122" s="33"/>
      <c r="T122" s="34">
        <f>38667.24</f>
        <v>38667.24</v>
      </c>
      <c r="U122" s="34"/>
      <c r="V122" s="34"/>
      <c r="W122" s="34">
        <f>12756.31</f>
        <v>12756.31</v>
      </c>
      <c r="X122" s="34"/>
      <c r="Y122" s="34"/>
      <c r="Z122" s="34"/>
      <c r="AA122" s="34"/>
      <c r="AB122" s="35">
        <f>25910.93</f>
        <v>25910.93</v>
      </c>
      <c r="AC122" s="35"/>
    </row>
    <row r="123" spans="1:29" s="1" customFormat="1" ht="13.5" customHeight="1">
      <c r="A123" s="31" t="s">
        <v>97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87</v>
      </c>
      <c r="M123" s="32"/>
      <c r="N123" s="32"/>
      <c r="O123" s="32" t="s">
        <v>193</v>
      </c>
      <c r="P123" s="32"/>
      <c r="Q123" s="32"/>
      <c r="R123" s="33" t="s">
        <v>99</v>
      </c>
      <c r="S123" s="33"/>
      <c r="T123" s="34">
        <f>2000</f>
        <v>2000</v>
      </c>
      <c r="U123" s="34"/>
      <c r="V123" s="34"/>
      <c r="W123" s="36" t="s">
        <v>53</v>
      </c>
      <c r="X123" s="36"/>
      <c r="Y123" s="36"/>
      <c r="Z123" s="36"/>
      <c r="AA123" s="36"/>
      <c r="AB123" s="35">
        <f>2000</f>
        <v>2000</v>
      </c>
      <c r="AC123" s="35"/>
    </row>
    <row r="124" spans="1:29" s="1" customFormat="1" ht="13.5" customHeight="1">
      <c r="A124" s="31" t="s">
        <v>113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87</v>
      </c>
      <c r="M124" s="32"/>
      <c r="N124" s="32"/>
      <c r="O124" s="32" t="s">
        <v>193</v>
      </c>
      <c r="P124" s="32"/>
      <c r="Q124" s="32"/>
      <c r="R124" s="33" t="s">
        <v>115</v>
      </c>
      <c r="S124" s="33"/>
      <c r="T124" s="34">
        <f>90000</f>
        <v>90000</v>
      </c>
      <c r="U124" s="34"/>
      <c r="V124" s="34"/>
      <c r="W124" s="34">
        <f>10500</f>
        <v>10500</v>
      </c>
      <c r="X124" s="34"/>
      <c r="Y124" s="34"/>
      <c r="Z124" s="34"/>
      <c r="AA124" s="34"/>
      <c r="AB124" s="35">
        <f>79500</f>
        <v>79500</v>
      </c>
      <c r="AC124" s="35"/>
    </row>
    <row r="125" spans="1:29" s="1" customFormat="1" ht="13.5" customHeight="1">
      <c r="A125" s="31" t="s">
        <v>100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87</v>
      </c>
      <c r="M125" s="32"/>
      <c r="N125" s="32"/>
      <c r="O125" s="32" t="s">
        <v>193</v>
      </c>
      <c r="P125" s="32"/>
      <c r="Q125" s="32"/>
      <c r="R125" s="33" t="s">
        <v>101</v>
      </c>
      <c r="S125" s="33"/>
      <c r="T125" s="34">
        <f>8000</f>
        <v>8000</v>
      </c>
      <c r="U125" s="34"/>
      <c r="V125" s="34"/>
      <c r="W125" s="34">
        <f>562</f>
        <v>562</v>
      </c>
      <c r="X125" s="34"/>
      <c r="Y125" s="34"/>
      <c r="Z125" s="34"/>
      <c r="AA125" s="34"/>
      <c r="AB125" s="35">
        <f>7438</f>
        <v>7438</v>
      </c>
      <c r="AC125" s="35"/>
    </row>
    <row r="126" spans="1:29" s="1" customFormat="1" ht="13.5" customHeight="1">
      <c r="A126" s="31" t="s">
        <v>91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87</v>
      </c>
      <c r="M126" s="32"/>
      <c r="N126" s="32"/>
      <c r="O126" s="32" t="s">
        <v>194</v>
      </c>
      <c r="P126" s="32"/>
      <c r="Q126" s="32"/>
      <c r="R126" s="33" t="s">
        <v>93</v>
      </c>
      <c r="S126" s="33"/>
      <c r="T126" s="34">
        <f>1407743.81</f>
        <v>1407743.81</v>
      </c>
      <c r="U126" s="34"/>
      <c r="V126" s="34"/>
      <c r="W126" s="34">
        <f>339641.02</f>
        <v>339641.02</v>
      </c>
      <c r="X126" s="34"/>
      <c r="Y126" s="34"/>
      <c r="Z126" s="34"/>
      <c r="AA126" s="34"/>
      <c r="AB126" s="35">
        <f>1068102.79</f>
        <v>1068102.79</v>
      </c>
      <c r="AC126" s="35"/>
    </row>
    <row r="127" spans="1:29" s="1" customFormat="1" ht="13.5" customHeight="1">
      <c r="A127" s="31" t="s">
        <v>118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87</v>
      </c>
      <c r="M127" s="32"/>
      <c r="N127" s="32"/>
      <c r="O127" s="32" t="s">
        <v>195</v>
      </c>
      <c r="P127" s="32"/>
      <c r="Q127" s="32"/>
      <c r="R127" s="33" t="s">
        <v>120</v>
      </c>
      <c r="S127" s="33"/>
      <c r="T127" s="34">
        <f>65000</f>
        <v>65000</v>
      </c>
      <c r="U127" s="34"/>
      <c r="V127" s="34"/>
      <c r="W127" s="34">
        <f>14122.85</f>
        <v>14122.85</v>
      </c>
      <c r="X127" s="34"/>
      <c r="Y127" s="34"/>
      <c r="Z127" s="34"/>
      <c r="AA127" s="34"/>
      <c r="AB127" s="35">
        <f>50877.15</f>
        <v>50877.15</v>
      </c>
      <c r="AC127" s="35"/>
    </row>
    <row r="128" spans="1:29" s="1" customFormat="1" ht="13.5" customHeight="1">
      <c r="A128" s="31" t="s">
        <v>100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87</v>
      </c>
      <c r="M128" s="32"/>
      <c r="N128" s="32"/>
      <c r="O128" s="32" t="s">
        <v>195</v>
      </c>
      <c r="P128" s="32"/>
      <c r="Q128" s="32"/>
      <c r="R128" s="33" t="s">
        <v>101</v>
      </c>
      <c r="S128" s="33"/>
      <c r="T128" s="34">
        <f>50000</f>
        <v>50000</v>
      </c>
      <c r="U128" s="34"/>
      <c r="V128" s="34"/>
      <c r="W128" s="36" t="s">
        <v>53</v>
      </c>
      <c r="X128" s="36"/>
      <c r="Y128" s="36"/>
      <c r="Z128" s="36"/>
      <c r="AA128" s="36"/>
      <c r="AB128" s="35">
        <f>50000</f>
        <v>50000</v>
      </c>
      <c r="AC128" s="35"/>
    </row>
    <row r="129" spans="1:29" s="1" customFormat="1" ht="13.5" customHeight="1">
      <c r="A129" s="31" t="s">
        <v>118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87</v>
      </c>
      <c r="M129" s="32"/>
      <c r="N129" s="32"/>
      <c r="O129" s="32" t="s">
        <v>196</v>
      </c>
      <c r="P129" s="32"/>
      <c r="Q129" s="32"/>
      <c r="R129" s="33" t="s">
        <v>120</v>
      </c>
      <c r="S129" s="33"/>
      <c r="T129" s="34">
        <f>3000</f>
        <v>3000</v>
      </c>
      <c r="U129" s="34"/>
      <c r="V129" s="34"/>
      <c r="W129" s="34">
        <f>340</f>
        <v>340</v>
      </c>
      <c r="X129" s="34"/>
      <c r="Y129" s="34"/>
      <c r="Z129" s="34"/>
      <c r="AA129" s="34"/>
      <c r="AB129" s="35">
        <f>2660</f>
        <v>2660</v>
      </c>
      <c r="AC129" s="35"/>
    </row>
    <row r="130" spans="1:29" s="1" customFormat="1" ht="13.5" customHeight="1">
      <c r="A130" s="31" t="s">
        <v>121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87</v>
      </c>
      <c r="M130" s="32"/>
      <c r="N130" s="32"/>
      <c r="O130" s="32" t="s">
        <v>196</v>
      </c>
      <c r="P130" s="32"/>
      <c r="Q130" s="32"/>
      <c r="R130" s="33" t="s">
        <v>122</v>
      </c>
      <c r="S130" s="33"/>
      <c r="T130" s="34">
        <f>33772.04</f>
        <v>33772.04</v>
      </c>
      <c r="U130" s="34"/>
      <c r="V130" s="34"/>
      <c r="W130" s="34">
        <f>33772.04</f>
        <v>33772.04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123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87</v>
      </c>
      <c r="M131" s="32"/>
      <c r="N131" s="32"/>
      <c r="O131" s="32" t="s">
        <v>196</v>
      </c>
      <c r="P131" s="32"/>
      <c r="Q131" s="32"/>
      <c r="R131" s="33" t="s">
        <v>124</v>
      </c>
      <c r="S131" s="33"/>
      <c r="T131" s="34">
        <f>895000</f>
        <v>895000</v>
      </c>
      <c r="U131" s="34"/>
      <c r="V131" s="34"/>
      <c r="W131" s="34">
        <f>277677.6</f>
        <v>277677.6</v>
      </c>
      <c r="X131" s="34"/>
      <c r="Y131" s="34"/>
      <c r="Z131" s="34"/>
      <c r="AA131" s="34"/>
      <c r="AB131" s="35">
        <f>617322.4</f>
        <v>617322.4</v>
      </c>
      <c r="AC131" s="35"/>
    </row>
    <row r="132" spans="1:29" s="1" customFormat="1" ht="13.5" customHeight="1">
      <c r="A132" s="31" t="s">
        <v>125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87</v>
      </c>
      <c r="M132" s="32"/>
      <c r="N132" s="32"/>
      <c r="O132" s="32" t="s">
        <v>196</v>
      </c>
      <c r="P132" s="32"/>
      <c r="Q132" s="32"/>
      <c r="R132" s="33" t="s">
        <v>126</v>
      </c>
      <c r="S132" s="33"/>
      <c r="T132" s="34">
        <f>171363.98</f>
        <v>171363.98</v>
      </c>
      <c r="U132" s="34"/>
      <c r="V132" s="34"/>
      <c r="W132" s="34">
        <f>11110</f>
        <v>11110</v>
      </c>
      <c r="X132" s="34"/>
      <c r="Y132" s="34"/>
      <c r="Z132" s="34"/>
      <c r="AA132" s="34"/>
      <c r="AB132" s="35">
        <f>160253.98</f>
        <v>160253.98</v>
      </c>
      <c r="AC132" s="35"/>
    </row>
    <row r="133" spans="1:29" s="1" customFormat="1" ht="13.5" customHeight="1">
      <c r="A133" s="31" t="s">
        <v>100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87</v>
      </c>
      <c r="M133" s="32"/>
      <c r="N133" s="32"/>
      <c r="O133" s="32" t="s">
        <v>196</v>
      </c>
      <c r="P133" s="32"/>
      <c r="Q133" s="32"/>
      <c r="R133" s="33" t="s">
        <v>101</v>
      </c>
      <c r="S133" s="33"/>
      <c r="T133" s="34">
        <f>1404923.96</f>
        <v>1404923.96</v>
      </c>
      <c r="U133" s="34"/>
      <c r="V133" s="34"/>
      <c r="W133" s="34">
        <f>164743.36</f>
        <v>164743.36</v>
      </c>
      <c r="X133" s="34"/>
      <c r="Y133" s="34"/>
      <c r="Z133" s="34"/>
      <c r="AA133" s="34"/>
      <c r="AB133" s="35">
        <f>1240180.6</f>
        <v>1240180.6</v>
      </c>
      <c r="AC133" s="35"/>
    </row>
    <row r="134" spans="1:29" s="1" customFormat="1" ht="13.5" customHeight="1">
      <c r="A134" s="31" t="s">
        <v>135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87</v>
      </c>
      <c r="M134" s="32"/>
      <c r="N134" s="32"/>
      <c r="O134" s="32" t="s">
        <v>196</v>
      </c>
      <c r="P134" s="32"/>
      <c r="Q134" s="32"/>
      <c r="R134" s="33" t="s">
        <v>136</v>
      </c>
      <c r="S134" s="33"/>
      <c r="T134" s="34">
        <f>30000</f>
        <v>30000</v>
      </c>
      <c r="U134" s="34"/>
      <c r="V134" s="34"/>
      <c r="W134" s="34">
        <f>30000</f>
        <v>30000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137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87</v>
      </c>
      <c r="M135" s="32"/>
      <c r="N135" s="32"/>
      <c r="O135" s="32" t="s">
        <v>196</v>
      </c>
      <c r="P135" s="32"/>
      <c r="Q135" s="32"/>
      <c r="R135" s="33" t="s">
        <v>138</v>
      </c>
      <c r="S135" s="33"/>
      <c r="T135" s="34">
        <f>50000</f>
        <v>50000</v>
      </c>
      <c r="U135" s="34"/>
      <c r="V135" s="34"/>
      <c r="W135" s="36" t="s">
        <v>53</v>
      </c>
      <c r="X135" s="36"/>
      <c r="Y135" s="36"/>
      <c r="Z135" s="36"/>
      <c r="AA135" s="36"/>
      <c r="AB135" s="35">
        <f>50000</f>
        <v>50000</v>
      </c>
      <c r="AC135" s="35"/>
    </row>
    <row r="136" spans="1:29" s="1" customFormat="1" ht="24" customHeight="1">
      <c r="A136" s="31" t="s">
        <v>139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87</v>
      </c>
      <c r="M136" s="32"/>
      <c r="N136" s="32"/>
      <c r="O136" s="32" t="s">
        <v>196</v>
      </c>
      <c r="P136" s="32"/>
      <c r="Q136" s="32"/>
      <c r="R136" s="33" t="s">
        <v>140</v>
      </c>
      <c r="S136" s="33"/>
      <c r="T136" s="34">
        <f>20504</f>
        <v>20504</v>
      </c>
      <c r="U136" s="34"/>
      <c r="V136" s="34"/>
      <c r="W136" s="34">
        <f>20504</f>
        <v>20504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141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87</v>
      </c>
      <c r="M137" s="32"/>
      <c r="N137" s="32"/>
      <c r="O137" s="32" t="s">
        <v>197</v>
      </c>
      <c r="P137" s="32"/>
      <c r="Q137" s="32"/>
      <c r="R137" s="33" t="s">
        <v>143</v>
      </c>
      <c r="S137" s="33"/>
      <c r="T137" s="34">
        <f>20000</f>
        <v>20000</v>
      </c>
      <c r="U137" s="34"/>
      <c r="V137" s="34"/>
      <c r="W137" s="34">
        <f>3500</f>
        <v>3500</v>
      </c>
      <c r="X137" s="34"/>
      <c r="Y137" s="34"/>
      <c r="Z137" s="34"/>
      <c r="AA137" s="34"/>
      <c r="AB137" s="35">
        <f>16500</f>
        <v>16500</v>
      </c>
      <c r="AC137" s="35"/>
    </row>
    <row r="138" spans="1:29" s="1" customFormat="1" ht="24" customHeight="1">
      <c r="A138" s="31" t="s">
        <v>198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87</v>
      </c>
      <c r="M138" s="32"/>
      <c r="N138" s="32"/>
      <c r="O138" s="32" t="s">
        <v>199</v>
      </c>
      <c r="P138" s="32"/>
      <c r="Q138" s="32"/>
      <c r="R138" s="33" t="s">
        <v>200</v>
      </c>
      <c r="S138" s="33"/>
      <c r="T138" s="34">
        <f>3029.96</f>
        <v>3029.96</v>
      </c>
      <c r="U138" s="34"/>
      <c r="V138" s="34"/>
      <c r="W138" s="34">
        <f>3029.96</f>
        <v>3029.96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88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87</v>
      </c>
      <c r="M139" s="32"/>
      <c r="N139" s="32"/>
      <c r="O139" s="32" t="s">
        <v>201</v>
      </c>
      <c r="P139" s="32"/>
      <c r="Q139" s="32"/>
      <c r="R139" s="33" t="s">
        <v>90</v>
      </c>
      <c r="S139" s="33"/>
      <c r="T139" s="34">
        <f>3387396.94</f>
        <v>3387396.94</v>
      </c>
      <c r="U139" s="34"/>
      <c r="V139" s="34"/>
      <c r="W139" s="34">
        <f>813765.4</f>
        <v>813765.4</v>
      </c>
      <c r="X139" s="34"/>
      <c r="Y139" s="34"/>
      <c r="Z139" s="34"/>
      <c r="AA139" s="34"/>
      <c r="AB139" s="35">
        <f>2573631.54</f>
        <v>2573631.54</v>
      </c>
      <c r="AC139" s="35"/>
    </row>
    <row r="140" spans="1:29" s="1" customFormat="1" ht="13.5" customHeight="1">
      <c r="A140" s="31" t="s">
        <v>91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87</v>
      </c>
      <c r="M140" s="32"/>
      <c r="N140" s="32"/>
      <c r="O140" s="32" t="s">
        <v>202</v>
      </c>
      <c r="P140" s="32"/>
      <c r="Q140" s="32"/>
      <c r="R140" s="33" t="s">
        <v>93</v>
      </c>
      <c r="S140" s="33"/>
      <c r="T140" s="34">
        <f>827140.53</f>
        <v>827140.53</v>
      </c>
      <c r="U140" s="34"/>
      <c r="V140" s="34"/>
      <c r="W140" s="34">
        <f>245757</f>
        <v>245757</v>
      </c>
      <c r="X140" s="34"/>
      <c r="Y140" s="34"/>
      <c r="Z140" s="34"/>
      <c r="AA140" s="34"/>
      <c r="AB140" s="35">
        <f>581383.53</f>
        <v>581383.53</v>
      </c>
      <c r="AC140" s="35"/>
    </row>
    <row r="141" spans="1:29" s="1" customFormat="1" ht="13.5" customHeight="1">
      <c r="A141" s="31" t="s">
        <v>88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87</v>
      </c>
      <c r="M141" s="32"/>
      <c r="N141" s="32"/>
      <c r="O141" s="32" t="s">
        <v>203</v>
      </c>
      <c r="P141" s="32"/>
      <c r="Q141" s="32"/>
      <c r="R141" s="33" t="s">
        <v>90</v>
      </c>
      <c r="S141" s="33"/>
      <c r="T141" s="34">
        <f>337558</f>
        <v>337558</v>
      </c>
      <c r="U141" s="34"/>
      <c r="V141" s="34"/>
      <c r="W141" s="34">
        <f>149000</f>
        <v>149000</v>
      </c>
      <c r="X141" s="34"/>
      <c r="Y141" s="34"/>
      <c r="Z141" s="34"/>
      <c r="AA141" s="34"/>
      <c r="AB141" s="35">
        <f>188558</f>
        <v>188558</v>
      </c>
      <c r="AC141" s="35"/>
    </row>
    <row r="142" spans="1:29" s="1" customFormat="1" ht="13.5" customHeight="1">
      <c r="A142" s="31" t="s">
        <v>91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87</v>
      </c>
      <c r="M142" s="32"/>
      <c r="N142" s="32"/>
      <c r="O142" s="32" t="s">
        <v>204</v>
      </c>
      <c r="P142" s="32"/>
      <c r="Q142" s="32"/>
      <c r="R142" s="33" t="s">
        <v>93</v>
      </c>
      <c r="S142" s="33"/>
      <c r="T142" s="34">
        <f>101942</f>
        <v>101942</v>
      </c>
      <c r="U142" s="34"/>
      <c r="V142" s="34"/>
      <c r="W142" s="34">
        <f>45000</f>
        <v>45000</v>
      </c>
      <c r="X142" s="34"/>
      <c r="Y142" s="34"/>
      <c r="Z142" s="34"/>
      <c r="AA142" s="34"/>
      <c r="AB142" s="35">
        <f>56942</f>
        <v>56942</v>
      </c>
      <c r="AC142" s="35"/>
    </row>
    <row r="143" spans="1:29" s="1" customFormat="1" ht="24" customHeight="1">
      <c r="A143" s="31" t="s">
        <v>205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87</v>
      </c>
      <c r="M143" s="32"/>
      <c r="N143" s="32"/>
      <c r="O143" s="32" t="s">
        <v>206</v>
      </c>
      <c r="P143" s="32"/>
      <c r="Q143" s="32"/>
      <c r="R143" s="33" t="s">
        <v>207</v>
      </c>
      <c r="S143" s="33"/>
      <c r="T143" s="34">
        <f>850000</f>
        <v>850000</v>
      </c>
      <c r="U143" s="34"/>
      <c r="V143" s="34"/>
      <c r="W143" s="34">
        <f>93189</f>
        <v>93189</v>
      </c>
      <c r="X143" s="34"/>
      <c r="Y143" s="34"/>
      <c r="Z143" s="34"/>
      <c r="AA143" s="34"/>
      <c r="AB143" s="35">
        <f>756811</f>
        <v>756811</v>
      </c>
      <c r="AC143" s="35"/>
    </row>
    <row r="144" spans="1:29" s="1" customFormat="1" ht="24" customHeight="1">
      <c r="A144" s="31" t="s">
        <v>139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87</v>
      </c>
      <c r="M144" s="32"/>
      <c r="N144" s="32"/>
      <c r="O144" s="32" t="s">
        <v>208</v>
      </c>
      <c r="P144" s="32"/>
      <c r="Q144" s="32"/>
      <c r="R144" s="33" t="s">
        <v>140</v>
      </c>
      <c r="S144" s="33"/>
      <c r="T144" s="34">
        <f>30000</f>
        <v>30000</v>
      </c>
      <c r="U144" s="34"/>
      <c r="V144" s="34"/>
      <c r="W144" s="34">
        <f>5000</f>
        <v>5000</v>
      </c>
      <c r="X144" s="34"/>
      <c r="Y144" s="34"/>
      <c r="Z144" s="34"/>
      <c r="AA144" s="34"/>
      <c r="AB144" s="35">
        <f>25000</f>
        <v>25000</v>
      </c>
      <c r="AC144" s="35"/>
    </row>
    <row r="145" spans="1:29" s="1" customFormat="1" ht="15" customHeight="1">
      <c r="A145" s="37" t="s">
        <v>209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8" t="s">
        <v>210</v>
      </c>
      <c r="M145" s="38"/>
      <c r="N145" s="38"/>
      <c r="O145" s="38" t="s">
        <v>36</v>
      </c>
      <c r="P145" s="38"/>
      <c r="Q145" s="38"/>
      <c r="R145" s="39" t="s">
        <v>36</v>
      </c>
      <c r="S145" s="39"/>
      <c r="T145" s="40">
        <f>-2543152.53</f>
        <v>-2543152.53</v>
      </c>
      <c r="U145" s="40"/>
      <c r="V145" s="40"/>
      <c r="W145" s="40">
        <f>-1551275.24</f>
        <v>-1551275.24</v>
      </c>
      <c r="X145" s="40"/>
      <c r="Y145" s="40"/>
      <c r="Z145" s="40"/>
      <c r="AA145" s="40"/>
      <c r="AB145" s="41" t="s">
        <v>36</v>
      </c>
      <c r="AC145" s="41"/>
    </row>
    <row r="146" spans="1:29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s="1" customFormat="1" ht="13.5" customHeight="1">
      <c r="A147" s="12" t="s">
        <v>211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s="1" customFormat="1" ht="45.75" customHeight="1">
      <c r="A148" s="13" t="s">
        <v>22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 t="s">
        <v>23</v>
      </c>
      <c r="N148" s="13"/>
      <c r="O148" s="13"/>
      <c r="P148" s="13" t="s">
        <v>212</v>
      </c>
      <c r="Q148" s="13"/>
      <c r="R148" s="13"/>
      <c r="S148" s="14" t="s">
        <v>25</v>
      </c>
      <c r="T148" s="14"/>
      <c r="U148" s="14"/>
      <c r="V148" s="14" t="s">
        <v>26</v>
      </c>
      <c r="W148" s="14"/>
      <c r="X148" s="14"/>
      <c r="Y148" s="14"/>
      <c r="Z148" s="14"/>
      <c r="AA148" s="15" t="s">
        <v>27</v>
      </c>
      <c r="AB148" s="15"/>
      <c r="AC148" s="15"/>
    </row>
    <row r="149" spans="1:29" s="1" customFormat="1" ht="12.75" customHeight="1">
      <c r="A149" s="16" t="s">
        <v>28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 t="s">
        <v>29</v>
      </c>
      <c r="N149" s="16"/>
      <c r="O149" s="16"/>
      <c r="P149" s="16" t="s">
        <v>30</v>
      </c>
      <c r="Q149" s="16"/>
      <c r="R149" s="16"/>
      <c r="S149" s="17" t="s">
        <v>31</v>
      </c>
      <c r="T149" s="17"/>
      <c r="U149" s="17"/>
      <c r="V149" s="17" t="s">
        <v>32</v>
      </c>
      <c r="W149" s="17"/>
      <c r="X149" s="17"/>
      <c r="Y149" s="17"/>
      <c r="Z149" s="17"/>
      <c r="AA149" s="18" t="s">
        <v>33</v>
      </c>
      <c r="AB149" s="18"/>
      <c r="AC149" s="18"/>
    </row>
    <row r="150" spans="1:29" s="1" customFormat="1" ht="13.5" customHeight="1">
      <c r="A150" s="19" t="s">
        <v>213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 t="s">
        <v>214</v>
      </c>
      <c r="N150" s="20"/>
      <c r="O150" s="20"/>
      <c r="P150" s="20" t="s">
        <v>36</v>
      </c>
      <c r="Q150" s="20"/>
      <c r="R150" s="20"/>
      <c r="S150" s="42">
        <f>2543152.53</f>
        <v>2543152.53</v>
      </c>
      <c r="T150" s="42"/>
      <c r="U150" s="42"/>
      <c r="V150" s="21">
        <f>1551275.24</f>
        <v>1551275.24</v>
      </c>
      <c r="W150" s="21"/>
      <c r="X150" s="21"/>
      <c r="Y150" s="21"/>
      <c r="Z150" s="21"/>
      <c r="AA150" s="43" t="s">
        <v>36</v>
      </c>
      <c r="AB150" s="43"/>
      <c r="AC150" s="43"/>
    </row>
    <row r="151" spans="1:29" s="1" customFormat="1" ht="13.5" customHeight="1">
      <c r="A151" s="44" t="s">
        <v>215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5" t="s">
        <v>10</v>
      </c>
      <c r="N151" s="45"/>
      <c r="O151" s="45"/>
      <c r="P151" s="45" t="s">
        <v>10</v>
      </c>
      <c r="Q151" s="45"/>
      <c r="R151" s="45"/>
      <c r="S151" s="46" t="s">
        <v>10</v>
      </c>
      <c r="T151" s="46"/>
      <c r="U151" s="46"/>
      <c r="V151" s="47" t="s">
        <v>10</v>
      </c>
      <c r="W151" s="47"/>
      <c r="X151" s="47"/>
      <c r="Y151" s="47"/>
      <c r="Z151" s="47"/>
      <c r="AA151" s="48" t="s">
        <v>10</v>
      </c>
      <c r="AB151" s="48"/>
      <c r="AC151" s="48"/>
    </row>
    <row r="152" spans="1:29" s="1" customFormat="1" ht="13.5" customHeight="1">
      <c r="A152" s="23" t="s">
        <v>216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49" t="s">
        <v>217</v>
      </c>
      <c r="N152" s="49"/>
      <c r="O152" s="49"/>
      <c r="P152" s="24" t="s">
        <v>36</v>
      </c>
      <c r="Q152" s="24"/>
      <c r="R152" s="24"/>
      <c r="S152" s="50" t="s">
        <v>53</v>
      </c>
      <c r="T152" s="50"/>
      <c r="U152" s="50"/>
      <c r="V152" s="27" t="s">
        <v>53</v>
      </c>
      <c r="W152" s="27"/>
      <c r="X152" s="27"/>
      <c r="Y152" s="27"/>
      <c r="Z152" s="27"/>
      <c r="AA152" s="51" t="s">
        <v>53</v>
      </c>
      <c r="AB152" s="51"/>
      <c r="AC152" s="51"/>
    </row>
    <row r="153" spans="1:29" s="1" customFormat="1" ht="13.5" customHeight="1">
      <c r="A153" s="33" t="s">
        <v>10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1" customFormat="1" ht="13.5" customHeight="1">
      <c r="A154" s="31" t="s">
        <v>218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45" t="s">
        <v>219</v>
      </c>
      <c r="N154" s="45"/>
      <c r="O154" s="45"/>
      <c r="P154" s="45" t="s">
        <v>36</v>
      </c>
      <c r="Q154" s="45"/>
      <c r="R154" s="45"/>
      <c r="S154" s="46" t="s">
        <v>53</v>
      </c>
      <c r="T154" s="46"/>
      <c r="U154" s="46"/>
      <c r="V154" s="36" t="s">
        <v>53</v>
      </c>
      <c r="W154" s="36"/>
      <c r="X154" s="36"/>
      <c r="Y154" s="36"/>
      <c r="Z154" s="36"/>
      <c r="AA154" s="48" t="s">
        <v>53</v>
      </c>
      <c r="AB154" s="48"/>
      <c r="AC154" s="48"/>
    </row>
    <row r="155" spans="1:29" s="1" customFormat="1" ht="13.5" customHeight="1">
      <c r="A155" s="31" t="s">
        <v>10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2" t="s">
        <v>219</v>
      </c>
      <c r="N155" s="32"/>
      <c r="O155" s="32"/>
      <c r="P155" s="32" t="s">
        <v>10</v>
      </c>
      <c r="Q155" s="32"/>
      <c r="R155" s="32"/>
      <c r="S155" s="52" t="s">
        <v>53</v>
      </c>
      <c r="T155" s="52"/>
      <c r="U155" s="52"/>
      <c r="V155" s="36" t="s">
        <v>53</v>
      </c>
      <c r="W155" s="36"/>
      <c r="X155" s="36"/>
      <c r="Y155" s="36"/>
      <c r="Z155" s="36"/>
      <c r="AA155" s="53" t="s">
        <v>53</v>
      </c>
      <c r="AB155" s="53"/>
      <c r="AC155" s="53"/>
    </row>
    <row r="156" spans="1:29" s="1" customFormat="1" ht="13.5" customHeight="1">
      <c r="A156" s="31" t="s">
        <v>220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2" t="s">
        <v>221</v>
      </c>
      <c r="N156" s="32"/>
      <c r="O156" s="32"/>
      <c r="P156" s="32" t="s">
        <v>222</v>
      </c>
      <c r="Q156" s="32"/>
      <c r="R156" s="32"/>
      <c r="S156" s="54">
        <f>2543152.53</f>
        <v>2543152.53</v>
      </c>
      <c r="T156" s="54"/>
      <c r="U156" s="54"/>
      <c r="V156" s="34">
        <f>1551275.24</f>
        <v>1551275.24</v>
      </c>
      <c r="W156" s="34"/>
      <c r="X156" s="34"/>
      <c r="Y156" s="34"/>
      <c r="Z156" s="34"/>
      <c r="AA156" s="55">
        <f>991877.29</f>
        <v>991877.29</v>
      </c>
      <c r="AB156" s="55"/>
      <c r="AC156" s="55"/>
    </row>
    <row r="157" spans="1:29" s="1" customFormat="1" ht="13.5" customHeight="1">
      <c r="A157" s="31" t="s">
        <v>223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2" t="s">
        <v>224</v>
      </c>
      <c r="N157" s="32"/>
      <c r="O157" s="32"/>
      <c r="P157" s="32" t="s">
        <v>225</v>
      </c>
      <c r="Q157" s="32"/>
      <c r="R157" s="32"/>
      <c r="S157" s="54">
        <f>-45559697.64</f>
        <v>-45559697.64</v>
      </c>
      <c r="T157" s="54"/>
      <c r="U157" s="54"/>
      <c r="V157" s="34">
        <f>-9427036.8</f>
        <v>-9427036.8</v>
      </c>
      <c r="W157" s="34"/>
      <c r="X157" s="34"/>
      <c r="Y157" s="34"/>
      <c r="Z157" s="34"/>
      <c r="AA157" s="56" t="s">
        <v>36</v>
      </c>
      <c r="AB157" s="56"/>
      <c r="AC157" s="56"/>
    </row>
    <row r="158" spans="1:29" s="1" customFormat="1" ht="13.5" customHeight="1">
      <c r="A158" s="31" t="s">
        <v>226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2" t="s">
        <v>227</v>
      </c>
      <c r="N158" s="32"/>
      <c r="O158" s="32"/>
      <c r="P158" s="32" t="s">
        <v>228</v>
      </c>
      <c r="Q158" s="32"/>
      <c r="R158" s="32"/>
      <c r="S158" s="54">
        <f>48102850.17</f>
        <v>48102850.17</v>
      </c>
      <c r="T158" s="54"/>
      <c r="U158" s="54"/>
      <c r="V158" s="34">
        <f>10978312.04</f>
        <v>10978312.04</v>
      </c>
      <c r="W158" s="34"/>
      <c r="X158" s="34"/>
      <c r="Y158" s="34"/>
      <c r="Z158" s="34"/>
      <c r="AA158" s="56" t="s">
        <v>36</v>
      </c>
      <c r="AB158" s="56"/>
      <c r="AC158" s="56"/>
    </row>
    <row r="159" spans="1:29" s="1" customFormat="1" ht="13.5" customHeight="1">
      <c r="A159" s="58" t="s">
        <v>10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:29" s="1" customFormat="1" ht="13.5" customHeight="1">
      <c r="A160" s="7" t="s">
        <v>229</v>
      </c>
      <c r="B160" s="7"/>
      <c r="C160" s="7"/>
      <c r="D160" s="7"/>
      <c r="E160" s="7"/>
      <c r="F160" s="7"/>
      <c r="G160" s="7"/>
      <c r="H160" s="7"/>
      <c r="I160" s="57" t="s">
        <v>10</v>
      </c>
      <c r="J160" s="57"/>
      <c r="K160" s="57"/>
      <c r="L160" s="57"/>
      <c r="M160" s="57"/>
      <c r="N160" s="57"/>
      <c r="O160" s="57"/>
      <c r="P160" s="57" t="s">
        <v>230</v>
      </c>
      <c r="Q160" s="57"/>
      <c r="R160" s="57"/>
      <c r="S160" s="57"/>
      <c r="T160" s="57"/>
      <c r="U160" s="7" t="s">
        <v>10</v>
      </c>
      <c r="V160" s="7"/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7" t="s">
        <v>10</v>
      </c>
      <c r="B161" s="7"/>
      <c r="C161" s="7"/>
      <c r="D161" s="7"/>
      <c r="E161" s="7"/>
      <c r="F161" s="7"/>
      <c r="G161" s="7"/>
      <c r="H161" s="7"/>
      <c r="I161" s="10" t="s">
        <v>10</v>
      </c>
      <c r="J161" s="59" t="s">
        <v>231</v>
      </c>
      <c r="K161" s="59"/>
      <c r="L161" s="59"/>
      <c r="M161" s="59"/>
      <c r="N161" s="7" t="s">
        <v>10</v>
      </c>
      <c r="O161" s="7"/>
      <c r="P161" s="10" t="s">
        <v>10</v>
      </c>
      <c r="Q161" s="59" t="s">
        <v>232</v>
      </c>
      <c r="R161" s="59"/>
      <c r="S161" s="59"/>
      <c r="T161" s="7" t="s">
        <v>10</v>
      </c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s="1" customFormat="1" ht="7.5" customHeight="1">
      <c r="A162" s="7" t="s">
        <v>10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7" t="s">
        <v>233</v>
      </c>
      <c r="B163" s="7"/>
      <c r="C163" s="7"/>
      <c r="D163" s="7"/>
      <c r="E163" s="7"/>
      <c r="F163" s="7"/>
      <c r="G163" s="7"/>
      <c r="H163" s="7"/>
      <c r="I163" s="57" t="s">
        <v>10</v>
      </c>
      <c r="J163" s="57"/>
      <c r="K163" s="57"/>
      <c r="L163" s="57"/>
      <c r="M163" s="57"/>
      <c r="N163" s="57"/>
      <c r="O163" s="57"/>
      <c r="P163" s="57" t="s">
        <v>234</v>
      </c>
      <c r="Q163" s="57"/>
      <c r="R163" s="57"/>
      <c r="S163" s="57"/>
      <c r="T163" s="57"/>
      <c r="U163" s="7" t="s">
        <v>10</v>
      </c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13.5" customHeight="1">
      <c r="A164" s="7" t="s">
        <v>10</v>
      </c>
      <c r="B164" s="7"/>
      <c r="C164" s="7"/>
      <c r="D164" s="7"/>
      <c r="E164" s="7"/>
      <c r="F164" s="7"/>
      <c r="G164" s="7"/>
      <c r="H164" s="7"/>
      <c r="I164" s="10" t="s">
        <v>10</v>
      </c>
      <c r="J164" s="59" t="s">
        <v>231</v>
      </c>
      <c r="K164" s="59"/>
      <c r="L164" s="59"/>
      <c r="M164" s="59"/>
      <c r="N164" s="7" t="s">
        <v>10</v>
      </c>
      <c r="O164" s="7"/>
      <c r="P164" s="10" t="s">
        <v>10</v>
      </c>
      <c r="Q164" s="59" t="s">
        <v>232</v>
      </c>
      <c r="R164" s="59"/>
      <c r="S164" s="59"/>
      <c r="T164" s="7" t="s">
        <v>10</v>
      </c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s="1" customFormat="1" ht="7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7" t="s">
        <v>235</v>
      </c>
      <c r="B166" s="7"/>
      <c r="C166" s="57" t="s">
        <v>233</v>
      </c>
      <c r="D166" s="57"/>
      <c r="E166" s="57"/>
      <c r="F166" s="57"/>
      <c r="G166" s="57"/>
      <c r="H166" s="57"/>
      <c r="I166" s="57" t="s">
        <v>10</v>
      </c>
      <c r="J166" s="57"/>
      <c r="K166" s="57"/>
      <c r="L166" s="57"/>
      <c r="M166" s="57"/>
      <c r="N166" s="57"/>
      <c r="O166" s="57"/>
      <c r="P166" s="57" t="s">
        <v>234</v>
      </c>
      <c r="Q166" s="57"/>
      <c r="R166" s="57"/>
      <c r="S166" s="57"/>
      <c r="T166" s="57"/>
      <c r="U166" s="7" t="s">
        <v>10</v>
      </c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13.5" customHeight="1">
      <c r="A167" s="7" t="s">
        <v>10</v>
      </c>
      <c r="B167" s="7"/>
      <c r="C167" s="10" t="s">
        <v>10</v>
      </c>
      <c r="D167" s="59" t="s">
        <v>236</v>
      </c>
      <c r="E167" s="59"/>
      <c r="F167" s="59"/>
      <c r="G167" s="59"/>
      <c r="H167" s="10" t="s">
        <v>10</v>
      </c>
      <c r="I167" s="10" t="s">
        <v>10</v>
      </c>
      <c r="J167" s="59" t="s">
        <v>231</v>
      </c>
      <c r="K167" s="59"/>
      <c r="L167" s="59"/>
      <c r="M167" s="59"/>
      <c r="N167" s="7" t="s">
        <v>10</v>
      </c>
      <c r="O167" s="7"/>
      <c r="P167" s="10" t="s">
        <v>10</v>
      </c>
      <c r="Q167" s="59" t="s">
        <v>232</v>
      </c>
      <c r="R167" s="59"/>
      <c r="S167" s="59"/>
      <c r="T167" s="7" t="s">
        <v>10</v>
      </c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15.75" customHeight="1">
      <c r="A168" s="7" t="s">
        <v>10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60" t="s">
        <v>237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7" t="s">
        <v>10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13.5" customHeight="1">
      <c r="A170" s="4" t="s">
        <v>238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</sheetData>
  <sheetProtection/>
  <mergeCells count="1030">
    <mergeCell ref="A168:AC168"/>
    <mergeCell ref="A169:J169"/>
    <mergeCell ref="K169:AC169"/>
    <mergeCell ref="A170:AC170"/>
    <mergeCell ref="A167:B167"/>
    <mergeCell ref="D167:G167"/>
    <mergeCell ref="J167:M167"/>
    <mergeCell ref="N167:O167"/>
    <mergeCell ref="Q167:S167"/>
    <mergeCell ref="T167:AC167"/>
    <mergeCell ref="A165:AC165"/>
    <mergeCell ref="A166:B166"/>
    <mergeCell ref="C166:H166"/>
    <mergeCell ref="I166:O166"/>
    <mergeCell ref="P166:T166"/>
    <mergeCell ref="U166:AC166"/>
    <mergeCell ref="A162:AC162"/>
    <mergeCell ref="A163:H163"/>
    <mergeCell ref="I163:O163"/>
    <mergeCell ref="P163:T163"/>
    <mergeCell ref="U163:AC163"/>
    <mergeCell ref="A164:H164"/>
    <mergeCell ref="J164:M164"/>
    <mergeCell ref="N164:O164"/>
    <mergeCell ref="Q164:S164"/>
    <mergeCell ref="T164:AC164"/>
    <mergeCell ref="A159:AC159"/>
    <mergeCell ref="A160:H160"/>
    <mergeCell ref="I160:O160"/>
    <mergeCell ref="P160:T160"/>
    <mergeCell ref="U160:AC160"/>
    <mergeCell ref="A161:H161"/>
    <mergeCell ref="J161:M161"/>
    <mergeCell ref="N161:O161"/>
    <mergeCell ref="Q161:S161"/>
    <mergeCell ref="T161:AC161"/>
    <mergeCell ref="A158:L158"/>
    <mergeCell ref="M158:O158"/>
    <mergeCell ref="P158:R158"/>
    <mergeCell ref="S158:U158"/>
    <mergeCell ref="V158:Z158"/>
    <mergeCell ref="AA158:AC158"/>
    <mergeCell ref="A157:L157"/>
    <mergeCell ref="M157:O157"/>
    <mergeCell ref="P157:R157"/>
    <mergeCell ref="S157:U157"/>
    <mergeCell ref="V157:Z157"/>
    <mergeCell ref="AA157:AC157"/>
    <mergeCell ref="A156:L156"/>
    <mergeCell ref="M156:O156"/>
    <mergeCell ref="P156:R156"/>
    <mergeCell ref="S156:U156"/>
    <mergeCell ref="V156:Z156"/>
    <mergeCell ref="AA156:AC156"/>
    <mergeCell ref="A155:L155"/>
    <mergeCell ref="M155:O155"/>
    <mergeCell ref="P155:R155"/>
    <mergeCell ref="S155:U155"/>
    <mergeCell ref="V155:Z155"/>
    <mergeCell ref="AA155:AC155"/>
    <mergeCell ref="A153:AC153"/>
    <mergeCell ref="A154:L154"/>
    <mergeCell ref="M154:O154"/>
    <mergeCell ref="P154:R154"/>
    <mergeCell ref="S154:U154"/>
    <mergeCell ref="V154:Z154"/>
    <mergeCell ref="AA154:AC154"/>
    <mergeCell ref="A152:L152"/>
    <mergeCell ref="M152:O152"/>
    <mergeCell ref="P152:R152"/>
    <mergeCell ref="S152:U152"/>
    <mergeCell ref="V152:Z152"/>
    <mergeCell ref="AA152:AC152"/>
    <mergeCell ref="A151:L151"/>
    <mergeCell ref="M151:O151"/>
    <mergeCell ref="P151:R151"/>
    <mergeCell ref="S151:U151"/>
    <mergeCell ref="V151:Z151"/>
    <mergeCell ref="AA151:AC151"/>
    <mergeCell ref="A150:L150"/>
    <mergeCell ref="M150:O150"/>
    <mergeCell ref="P150:R150"/>
    <mergeCell ref="S150:U150"/>
    <mergeCell ref="V150:Z150"/>
    <mergeCell ref="AA150:AC150"/>
    <mergeCell ref="A149:L149"/>
    <mergeCell ref="M149:O149"/>
    <mergeCell ref="P149:R149"/>
    <mergeCell ref="S149:U149"/>
    <mergeCell ref="V149:Z149"/>
    <mergeCell ref="AA149:AC149"/>
    <mergeCell ref="A146:AC146"/>
    <mergeCell ref="A147:AC147"/>
    <mergeCell ref="A148:L148"/>
    <mergeCell ref="M148:O148"/>
    <mergeCell ref="P148:R148"/>
    <mergeCell ref="S148:U148"/>
    <mergeCell ref="V148:Z148"/>
    <mergeCell ref="AA148:AC148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35:AC35"/>
    <mergeCell ref="A36:AC36"/>
    <mergeCell ref="A37:K37"/>
    <mergeCell ref="L37:N37"/>
    <mergeCell ref="O37:Q37"/>
    <mergeCell ref="R37:S37"/>
    <mergeCell ref="T37:V37"/>
    <mergeCell ref="W37:AA37"/>
    <mergeCell ref="AB37:AC37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2019-04-04T09:09:33Z</dcterms:created>
  <dcterms:modified xsi:type="dcterms:W3CDTF">2019-04-04T09:09:33Z</dcterms:modified>
  <cp:category/>
  <cp:version/>
  <cp:contentType/>
  <cp:contentStatus/>
</cp:coreProperties>
</file>