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<sst xmlns="http://schemas.openxmlformats.org/spreadsheetml/2006/main" count="810" uniqueCount="261">
  <si>
    <t>ОТЧЕТ ОБ ИСПОЛНЕНИИ БЮДЖЕТА</t>
  </si>
  <si>
    <t>КОДЫ</t>
  </si>
  <si>
    <t xml:space="preserve">Форма по ОКУД </t>
  </si>
  <si>
    <t>0503117</t>
  </si>
  <si>
    <t>на 1 августа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</si>
  <si>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</si>
  <si>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</si>
  <si>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</si>
  <si>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</si>
  <si>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</si>
  <si>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</si>
  <si>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</si>
  <si>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</si>
  <si>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</si>
  <si>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</si>
  <si>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</si>
  <si>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</si>
  <si>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</si>
  <si>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</si>
  <si>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</si>
  <si>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</si>
  <si>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</si>
  <si>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</si>
  <si>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</si>
  <si>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</si>
  <si>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</si>
  <si>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</si>
  <si>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</si>
  <si>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</si>
  <si>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</si>
  <si>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</si>
  <si>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</si>
  <si>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</si>
  <si>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</si>
  <si>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</si>
  <si>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</si>
  <si>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</si>
  <si>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</si>
  <si>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</si>
  <si>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</si>
  <si>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</si>
  <si>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</si>
  <si>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</si>
  <si>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</si>
  <si>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</si>
  <si>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</si>
  <si>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</si>
  <si>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</si>
  <si>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</si>
  <si>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</si>
  <si>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</si>
  <si>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</si>
  <si>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</si>
  <si>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</si>
  <si>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</si>
  <si>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</si>
  <si>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</si>
  <si>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</si>
  <si>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</si>
  <si>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</si>
  <si>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</si>
  <si>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</si>
  <si>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</si>
  <si>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</si>
  <si>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</si>
  <si>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</si>
  <si>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</si>
  <si>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</si>
  <si>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</si>
  <si>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</si>
  <si>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</si>
  <si>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</si>
  <si>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</si>
  <si>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</si>
  <si>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</si>
  <si>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</si>
  <si>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</si>
  <si>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</si>
  <si>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</si>
  <si>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</si>
  <si>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</si>
  <si>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</si>
  <si>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</si>
  <si>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</si>
  <si>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</si>
  <si>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</si>
  <si>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</si>
  <si>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</si>
  <si>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</si>
  <si>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</si>
  <si>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</si>
  <si>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</si>
  <si>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</si>
  <si>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</si>
  <si>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</si>
  <si>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</si>
  <si>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</si>
  <si>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</si>
  <si>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</si>
  <si>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</si>
  <si>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</si>
  <si>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</si>
  <si>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</si>
  <si>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</si>
  <si>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</si>
  <si>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</si>
  <si>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</si>
  <si>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</si>
  <si>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</si>
  <si>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</si>
  <si>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</si>
  <si>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</si>
  <si>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</si>
  <si>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</si>
  <si>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</si>
  <si>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</si>
  <si>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</si>
  <si>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</si>
  <si>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</si>
  <si>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</si>
  <si>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</si>
  <si>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</si>
  <si>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</si>
  <si>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</si>
  <si>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</si>
  <si>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</si>
  <si>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</si>
  <si>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</si>
  <si>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</si>
  <si>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</si>
  <si>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</si>
  <si>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</si>
  <si>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</si>
  <si>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</si>
  <si>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</si>
  <si>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</si>
  <si>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</si>
  <si>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</si>
  <si>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</si>
  <si>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</si>
  <si>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</si>
  <si>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</si>
  <si>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</si>
  <si>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</si>
  <si>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</si>
  <si>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</si>
  <si>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</si>
  <si>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</si>
  <si>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</si>
  <si>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</si>
  <si>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</si>
  <si>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</si>
  <si>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</si>
  <si>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</si>
  <si>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</si>
  <si>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</si>
  <si>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</si>
  <si>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</si>
  <si>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</si>
  <si>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</si>
  <si>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</si>
  <si>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</si>
  <si>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</si>
  <si>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</si>
  <si>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</si>
  <si>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</si>
  <si>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</si>
  <si>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</si>
  <si>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</si>
  <si>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650 0314 1212702400 244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</si>
  <si>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</si>
  <si>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</si>
  <si>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</si>
  <si>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</si>
  <si>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</si>
  <si>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</si>
  <si>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</si>
  <si>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</si>
  <si>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</si>
  <si>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</si>
  <si>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</si>
  <si>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</si>
  <si>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Увеличение стоимости основных средств</t>
  </si>
  <si>
    <t>650 0409 1111392400 244</t>
  </si>
  <si>
    <t>310</t>
  </si>
  <si>
    <t>650 0409 1111492400 247</t>
  </si>
  <si>
    <t>650 0409 1111589190 244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</si>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</sst>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2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44409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50677063.62</f>
        <v>50677063.62</v>
      </c>
      <c r="T12" s="21"/>
      <c r="U12" s="21"/>
      <c r="V12" s="21">
        <f>27014975.16</f>
        <v>27014975.16</v>
      </c>
      <c r="W12" s="21"/>
      <c r="X12" s="21"/>
      <c r="Y12" s="21"/>
      <c r="Z12" s="21"/>
      <c r="AA12" s="22">
        <f>23662088.46</f>
        <v>23662088.46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73720.35</f>
        <v>73720.35</v>
      </c>
      <c r="W13" s="25"/>
      <c r="X13" s="25"/>
      <c r="Y13" s="25"/>
      <c r="Z13" s="25"/>
      <c r="AA13" s="26">
        <f>126279.65</f>
        <v>126279.65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39944.73</f>
        <v>39944.73</v>
      </c>
      <c r="W14" s="25"/>
      <c r="X14" s="25"/>
      <c r="Y14" s="25"/>
      <c r="Z14" s="25"/>
      <c r="AA14" s="26">
        <f>20055.27</f>
        <v>20055.27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2261429.63</f>
        <v>2261429.63</v>
      </c>
      <c r="T15" s="25"/>
      <c r="U15" s="25"/>
      <c r="V15" s="25">
        <f>1167903.49</f>
        <v>1167903.49</v>
      </c>
      <c r="W15" s="25"/>
      <c r="X15" s="25"/>
      <c r="Y15" s="25"/>
      <c r="Z15" s="25"/>
      <c r="AA15" s="26">
        <f>1093526.14</f>
        <v>1093526.14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11348.35</f>
        <v>11348.35</v>
      </c>
      <c r="T16" s="25"/>
      <c r="U16" s="25"/>
      <c r="V16" s="25">
        <f>8752.4</f>
        <v>8752.4</v>
      </c>
      <c r="W16" s="25"/>
      <c r="X16" s="25"/>
      <c r="Y16" s="25"/>
      <c r="Z16" s="25"/>
      <c r="AA16" s="26">
        <f>2595.95</f>
        <v>2595.95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2945624.67</f>
        <v>2945624.67</v>
      </c>
      <c r="T17" s="25"/>
      <c r="U17" s="25"/>
      <c r="V17" s="25">
        <f>1635864.74</f>
        <v>1635864.74</v>
      </c>
      <c r="W17" s="25"/>
      <c r="X17" s="25"/>
      <c r="Y17" s="25"/>
      <c r="Z17" s="25"/>
      <c r="AA17" s="26">
        <f>1309759.93</f>
        <v>1309759.93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-312737.78</f>
        <v>-312737.78</v>
      </c>
      <c r="T18" s="25"/>
      <c r="U18" s="25"/>
      <c r="V18" s="25">
        <f>-213336.81</f>
        <v>-213336.81</v>
      </c>
      <c r="W18" s="25"/>
      <c r="X18" s="25"/>
      <c r="Y18" s="25"/>
      <c r="Z18" s="25"/>
      <c r="AA18" s="26">
        <f>-99400.97</f>
        <v>-99400.97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4350000</f>
        <v>4350000</v>
      </c>
      <c r="T19" s="25"/>
      <c r="U19" s="25"/>
      <c r="V19" s="25">
        <f>2223012.09</f>
        <v>2223012.09</v>
      </c>
      <c r="W19" s="25"/>
      <c r="X19" s="25"/>
      <c r="Y19" s="25"/>
      <c r="Z19" s="25"/>
      <c r="AA19" s="26">
        <f>2126987.91</f>
        <v>2126987.91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776.37</f>
        <v>776.37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85000</f>
        <v>85000</v>
      </c>
      <c r="T21" s="25"/>
      <c r="U21" s="25"/>
      <c r="V21" s="25">
        <f>79881.82</f>
        <v>79881.82</v>
      </c>
      <c r="W21" s="25"/>
      <c r="X21" s="25"/>
      <c r="Y21" s="25"/>
      <c r="Z21" s="25"/>
      <c r="AA21" s="26">
        <f>5118.18</f>
        <v>5118.18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10000</f>
        <v>10000</v>
      </c>
      <c r="T22" s="25"/>
      <c r="U22" s="25"/>
      <c r="V22" s="25">
        <f>35236.56</f>
        <v>35236.56</v>
      </c>
      <c r="W22" s="25"/>
      <c r="X22" s="25"/>
      <c r="Y22" s="25"/>
      <c r="Z22" s="25"/>
      <c r="AA22" s="28" t="s">
        <v>53</v>
      </c>
      <c r="AB22" s="28"/>
      <c r="AC22" s="28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27192.46</f>
        <v>27192.46</v>
      </c>
      <c r="W23" s="25"/>
      <c r="X23" s="25"/>
      <c r="Y23" s="25"/>
      <c r="Z23" s="25"/>
      <c r="AA23" s="26">
        <f>174807.54</f>
        <v>174807.54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6645.79</f>
        <v>6645.79</v>
      </c>
      <c r="W24" s="25"/>
      <c r="X24" s="25"/>
      <c r="Y24" s="25"/>
      <c r="Z24" s="25"/>
      <c r="AA24" s="28" t="s">
        <v>53</v>
      </c>
      <c r="AB24" s="28"/>
      <c r="AC24" s="28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3205.9</f>
        <v>3205.9</v>
      </c>
      <c r="W25" s="25"/>
      <c r="X25" s="25"/>
      <c r="Y25" s="25"/>
      <c r="Z25" s="25"/>
      <c r="AA25" s="26">
        <f>27554.1</f>
        <v>27554.1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300000</f>
        <v>300000</v>
      </c>
      <c r="T26" s="25"/>
      <c r="U26" s="25"/>
      <c r="V26" s="25">
        <f>470122.19</f>
        <v>470122.19</v>
      </c>
      <c r="W26" s="25"/>
      <c r="X26" s="25"/>
      <c r="Y26" s="25"/>
      <c r="Z26" s="25"/>
      <c r="AA26" s="28" t="s">
        <v>53</v>
      </c>
      <c r="AB26" s="28"/>
      <c r="AC26" s="28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7279.12</f>
        <v>7279.12</v>
      </c>
      <c r="W27" s="25"/>
      <c r="X27" s="25"/>
      <c r="Y27" s="25"/>
      <c r="Z27" s="25"/>
      <c r="AA27" s="26">
        <f>152720.88</f>
        <v>152720.88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29250</f>
        <v>29250</v>
      </c>
      <c r="W28" s="25"/>
      <c r="X28" s="25"/>
      <c r="Y28" s="25"/>
      <c r="Z28" s="25"/>
      <c r="AA28" s="26">
        <f>16750</f>
        <v>16750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7" t="s">
        <v>53</v>
      </c>
      <c r="T29" s="27"/>
      <c r="U29" s="27"/>
      <c r="V29" s="25">
        <f>11200</f>
        <v>11200</v>
      </c>
      <c r="W29" s="25"/>
      <c r="X29" s="25"/>
      <c r="Y29" s="25"/>
      <c r="Z29" s="25"/>
      <c r="AA29" s="28" t="s">
        <v>53</v>
      </c>
      <c r="AB29" s="28"/>
      <c r="AC29" s="28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67000</f>
        <v>67000</v>
      </c>
      <c r="T30" s="25"/>
      <c r="U30" s="25"/>
      <c r="V30" s="25">
        <f>69241.12</f>
        <v>69241.12</v>
      </c>
      <c r="W30" s="25"/>
      <c r="X30" s="25"/>
      <c r="Y30" s="25"/>
      <c r="Z30" s="25"/>
      <c r="AA30" s="28" t="s">
        <v>53</v>
      </c>
      <c r="AB30" s="28"/>
      <c r="AC30" s="28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426203.73</f>
        <v>426203.73</v>
      </c>
      <c r="W31" s="25"/>
      <c r="X31" s="25"/>
      <c r="Y31" s="25"/>
      <c r="Z31" s="25"/>
      <c r="AA31" s="26">
        <f>353796.27</f>
        <v>353796.27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87150</f>
        <v>87150</v>
      </c>
      <c r="W32" s="25"/>
      <c r="X32" s="25"/>
      <c r="Y32" s="25"/>
      <c r="Z32" s="25"/>
      <c r="AA32" s="26">
        <f>258850</f>
        <v>258850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7" t="s">
        <v>53</v>
      </c>
      <c r="T33" s="27"/>
      <c r="U33" s="27"/>
      <c r="V33" s="25">
        <f>125381.97</f>
        <v>125381.97</v>
      </c>
      <c r="W33" s="25"/>
      <c r="X33" s="25"/>
      <c r="Y33" s="25"/>
      <c r="Z33" s="25"/>
      <c r="AA33" s="28" t="s">
        <v>53</v>
      </c>
      <c r="AB33" s="28"/>
      <c r="AC33" s="28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7" t="s">
        <v>53</v>
      </c>
      <c r="T34" s="27"/>
      <c r="U34" s="27"/>
      <c r="V34" s="25">
        <f>663200</f>
        <v>663200</v>
      </c>
      <c r="W34" s="25"/>
      <c r="X34" s="25"/>
      <c r="Y34" s="25"/>
      <c r="Z34" s="25"/>
      <c r="AA34" s="28" t="s">
        <v>53</v>
      </c>
      <c r="AB34" s="28"/>
      <c r="AC34" s="28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26631200</f>
        <v>26631200</v>
      </c>
      <c r="T35" s="25"/>
      <c r="U35" s="25"/>
      <c r="V35" s="25">
        <f>15812450.01</f>
        <v>15812450.01</v>
      </c>
      <c r="W35" s="25"/>
      <c r="X35" s="25"/>
      <c r="Y35" s="25"/>
      <c r="Z35" s="25"/>
      <c r="AA35" s="26">
        <f>10818749.99</f>
        <v>10818749.99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19685.71</f>
        <v>19685.71</v>
      </c>
      <c r="T36" s="25"/>
      <c r="U36" s="25"/>
      <c r="V36" s="27" t="s">
        <v>53</v>
      </c>
      <c r="W36" s="27"/>
      <c r="X36" s="27"/>
      <c r="Y36" s="27"/>
      <c r="Z36" s="27"/>
      <c r="AA36" s="26">
        <f>19685.71</f>
        <v>19685.71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466400</f>
        <v>466400</v>
      </c>
      <c r="T37" s="25"/>
      <c r="U37" s="25"/>
      <c r="V37" s="25">
        <f>349800</f>
        <v>349800</v>
      </c>
      <c r="W37" s="25"/>
      <c r="X37" s="25"/>
      <c r="Y37" s="25"/>
      <c r="Z37" s="25"/>
      <c r="AA37" s="26">
        <f>116600</f>
        <v>116600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84399.94</f>
        <v>84399.94</v>
      </c>
      <c r="T38" s="25"/>
      <c r="U38" s="25"/>
      <c r="V38" s="25">
        <f>58669.03</f>
        <v>58669.03</v>
      </c>
      <c r="W38" s="25"/>
      <c r="X38" s="25"/>
      <c r="Y38" s="25"/>
      <c r="Z38" s="25"/>
      <c r="AA38" s="26">
        <f>25730.91</f>
        <v>25730.91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11931233.1</f>
        <v>11931233.1</v>
      </c>
      <c r="T39" s="25"/>
      <c r="U39" s="25"/>
      <c r="V39" s="25">
        <f>3816228.1</f>
        <v>3816228.1</v>
      </c>
      <c r="W39" s="25"/>
      <c r="X39" s="25"/>
      <c r="Y39" s="25"/>
      <c r="Z39" s="25"/>
      <c r="AA39" s="26">
        <f>8115005</f>
        <v>8115005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53395165.98</f>
        <v>53395165.98</v>
      </c>
      <c r="U44" s="21"/>
      <c r="V44" s="21"/>
      <c r="W44" s="21">
        <f>26810911.57</f>
        <v>26810911.57</v>
      </c>
      <c r="X44" s="21"/>
      <c r="Y44" s="21"/>
      <c r="Z44" s="21"/>
      <c r="AA44" s="21"/>
      <c r="AB44" s="22">
        <f>26584254.41</f>
        <v>26584254.41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1410101.05</f>
        <v>1410101.05</v>
      </c>
      <c r="U45" s="34"/>
      <c r="V45" s="34"/>
      <c r="W45" s="34">
        <f>868828.23</f>
        <v>868828.23</v>
      </c>
      <c r="X45" s="34"/>
      <c r="Y45" s="34"/>
      <c r="Z45" s="34"/>
      <c r="AA45" s="34"/>
      <c r="AB45" s="35">
        <f>541272.82</f>
        <v>541272.82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380320</f>
        <v>380320</v>
      </c>
      <c r="U46" s="34"/>
      <c r="V46" s="34"/>
      <c r="W46" s="34">
        <f>254605.07</f>
        <v>254605.07</v>
      </c>
      <c r="X46" s="34"/>
      <c r="Y46" s="34"/>
      <c r="Z46" s="34"/>
      <c r="AA46" s="34"/>
      <c r="AB46" s="35">
        <f>125714.93</f>
        <v>125714.93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7642109.08</f>
        <v>7642109.08</v>
      </c>
      <c r="U47" s="34"/>
      <c r="V47" s="34"/>
      <c r="W47" s="34">
        <f>4273476.55</f>
        <v>4273476.55</v>
      </c>
      <c r="X47" s="34"/>
      <c r="Y47" s="34"/>
      <c r="Z47" s="34"/>
      <c r="AA47" s="34"/>
      <c r="AB47" s="35">
        <f>3368632.53</f>
        <v>3368632.53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106</v>
      </c>
      <c r="S48" s="33"/>
      <c r="T48" s="34">
        <f>20000</f>
        <v>20000</v>
      </c>
      <c r="U48" s="34"/>
      <c r="V48" s="34"/>
      <c r="W48" s="34">
        <f>10007.4</f>
        <v>10007.4</v>
      </c>
      <c r="X48" s="34"/>
      <c r="Y48" s="34"/>
      <c r="Z48" s="34"/>
      <c r="AA48" s="34"/>
      <c r="AB48" s="35">
        <f>9992.6</f>
        <v>9992.6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200000</f>
        <v>200000</v>
      </c>
      <c r="U49" s="34"/>
      <c r="V49" s="34"/>
      <c r="W49" s="34">
        <f>135580.76</f>
        <v>135580.76</v>
      </c>
      <c r="X49" s="34"/>
      <c r="Y49" s="34"/>
      <c r="Z49" s="34"/>
      <c r="AA49" s="34"/>
      <c r="AB49" s="35">
        <f>64419.24</f>
        <v>64419.24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111</v>
      </c>
      <c r="S50" s="33"/>
      <c r="T50" s="34">
        <f>3040</f>
        <v>3040</v>
      </c>
      <c r="U50" s="34"/>
      <c r="V50" s="34"/>
      <c r="W50" s="34">
        <f>3040</f>
        <v>3040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108</v>
      </c>
      <c r="P51" s="32"/>
      <c r="Q51" s="32"/>
      <c r="R51" s="33" t="s">
        <v>113</v>
      </c>
      <c r="S51" s="33"/>
      <c r="T51" s="34">
        <f>30000</f>
        <v>30000</v>
      </c>
      <c r="U51" s="34"/>
      <c r="V51" s="34"/>
      <c r="W51" s="34">
        <f>28595</f>
        <v>28595</v>
      </c>
      <c r="X51" s="34"/>
      <c r="Y51" s="34"/>
      <c r="Z51" s="34"/>
      <c r="AA51" s="34"/>
      <c r="AB51" s="35">
        <f>1405</f>
        <v>1405</v>
      </c>
      <c r="AC51" s="35"/>
    </row>
    <row r="52" spans="1:29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114</v>
      </c>
      <c r="P52" s="32"/>
      <c r="Q52" s="32"/>
      <c r="R52" s="33" t="s">
        <v>103</v>
      </c>
      <c r="S52" s="33"/>
      <c r="T52" s="34">
        <f>2301943.86</f>
        <v>2301943.86</v>
      </c>
      <c r="U52" s="34"/>
      <c r="V52" s="34"/>
      <c r="W52" s="34">
        <f>1176375.56</f>
        <v>1176375.56</v>
      </c>
      <c r="X52" s="34"/>
      <c r="Y52" s="34"/>
      <c r="Z52" s="34"/>
      <c r="AA52" s="34"/>
      <c r="AB52" s="35">
        <f>1125568.3</f>
        <v>1125568.3</v>
      </c>
      <c r="AC52" s="35"/>
    </row>
    <row r="53" spans="1:29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116</v>
      </c>
      <c r="P53" s="32"/>
      <c r="Q53" s="32"/>
      <c r="R53" s="33" t="s">
        <v>117</v>
      </c>
      <c r="S53" s="33"/>
      <c r="T53" s="34">
        <f>259409</f>
        <v>259409</v>
      </c>
      <c r="U53" s="34"/>
      <c r="V53" s="34"/>
      <c r="W53" s="34">
        <f>194562</f>
        <v>194562</v>
      </c>
      <c r="X53" s="34"/>
      <c r="Y53" s="34"/>
      <c r="Z53" s="34"/>
      <c r="AA53" s="34"/>
      <c r="AB53" s="35">
        <f>64847</f>
        <v>64847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119</v>
      </c>
      <c r="P54" s="32"/>
      <c r="Q54" s="32"/>
      <c r="R54" s="33" t="s">
        <v>97</v>
      </c>
      <c r="S54" s="33"/>
      <c r="T54" s="34">
        <f>100000</f>
        <v>100000</v>
      </c>
      <c r="U54" s="34"/>
      <c r="V54" s="34"/>
      <c r="W54" s="36" t="s">
        <v>53</v>
      </c>
      <c r="X54" s="36"/>
      <c r="Y54" s="36"/>
      <c r="Z54" s="36"/>
      <c r="AA54" s="36"/>
      <c r="AB54" s="35">
        <f>100000</f>
        <v>100000</v>
      </c>
      <c r="AC54" s="35"/>
    </row>
    <row r="55" spans="1:29" s="1" customFormat="1" ht="13.5" customHeight="1">
      <c r="A55" s="31" t="s">
        <v>110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120</v>
      </c>
      <c r="P55" s="32"/>
      <c r="Q55" s="32"/>
      <c r="R55" s="33" t="s">
        <v>111</v>
      </c>
      <c r="S55" s="33"/>
      <c r="T55" s="34">
        <f>11500</f>
        <v>11500</v>
      </c>
      <c r="U55" s="34"/>
      <c r="V55" s="34"/>
      <c r="W55" s="34">
        <f>7500</f>
        <v>7500</v>
      </c>
      <c r="X55" s="34"/>
      <c r="Y55" s="34"/>
      <c r="Z55" s="34"/>
      <c r="AA55" s="34"/>
      <c r="AB55" s="35">
        <f>4000</f>
        <v>4000</v>
      </c>
      <c r="AC55" s="35"/>
    </row>
    <row r="56" spans="1:29" s="1" customFormat="1" ht="13.5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121</v>
      </c>
      <c r="P56" s="32"/>
      <c r="Q56" s="32"/>
      <c r="R56" s="33" t="s">
        <v>111</v>
      </c>
      <c r="S56" s="33"/>
      <c r="T56" s="34">
        <f>52248</f>
        <v>52248</v>
      </c>
      <c r="U56" s="34"/>
      <c r="V56" s="34"/>
      <c r="W56" s="34">
        <f>22300</f>
        <v>22300</v>
      </c>
      <c r="X56" s="34"/>
      <c r="Y56" s="34"/>
      <c r="Z56" s="34"/>
      <c r="AA56" s="34"/>
      <c r="AB56" s="35">
        <f>29948</f>
        <v>29948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122</v>
      </c>
      <c r="P57" s="32"/>
      <c r="Q57" s="32"/>
      <c r="R57" s="33" t="s">
        <v>111</v>
      </c>
      <c r="S57" s="33"/>
      <c r="T57" s="34">
        <f>435708</f>
        <v>435708</v>
      </c>
      <c r="U57" s="34"/>
      <c r="V57" s="34"/>
      <c r="W57" s="34">
        <f>296729</f>
        <v>296729</v>
      </c>
      <c r="X57" s="34"/>
      <c r="Y57" s="34"/>
      <c r="Z57" s="34"/>
      <c r="AA57" s="34"/>
      <c r="AB57" s="35">
        <f>138979</f>
        <v>138979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123</v>
      </c>
      <c r="P58" s="32"/>
      <c r="Q58" s="32"/>
      <c r="R58" s="33" t="s">
        <v>111</v>
      </c>
      <c r="S58" s="33"/>
      <c r="T58" s="34">
        <f>50000</f>
        <v>50000</v>
      </c>
      <c r="U58" s="34"/>
      <c r="V58" s="34"/>
      <c r="W58" s="34">
        <f>7355.6</f>
        <v>7355.6</v>
      </c>
      <c r="X58" s="34"/>
      <c r="Y58" s="34"/>
      <c r="Z58" s="34"/>
      <c r="AA58" s="34"/>
      <c r="AB58" s="35">
        <f>42644.4</f>
        <v>42644.4</v>
      </c>
      <c r="AC58" s="35"/>
    </row>
    <row r="59" spans="1:29" s="1" customFormat="1" ht="24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125</v>
      </c>
      <c r="P59" s="32"/>
      <c r="Q59" s="32"/>
      <c r="R59" s="33" t="s">
        <v>126</v>
      </c>
      <c r="S59" s="33"/>
      <c r="T59" s="34">
        <f>6000</f>
        <v>6000</v>
      </c>
      <c r="U59" s="34"/>
      <c r="V59" s="34"/>
      <c r="W59" s="34">
        <f>4119.22</f>
        <v>4119.22</v>
      </c>
      <c r="X59" s="34"/>
      <c r="Y59" s="34"/>
      <c r="Z59" s="34"/>
      <c r="AA59" s="34"/>
      <c r="AB59" s="35">
        <f>1880.78</f>
        <v>1880.78</v>
      </c>
      <c r="AC59" s="35"/>
    </row>
    <row r="60" spans="1:29" s="1" customFormat="1" ht="13.5" customHeight="1">
      <c r="A60" s="31" t="s">
        <v>98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127</v>
      </c>
      <c r="P60" s="32"/>
      <c r="Q60" s="32"/>
      <c r="R60" s="33" t="s">
        <v>100</v>
      </c>
      <c r="S60" s="33"/>
      <c r="T60" s="34">
        <f>7155518.68</f>
        <v>7155518.68</v>
      </c>
      <c r="U60" s="34"/>
      <c r="V60" s="34"/>
      <c r="W60" s="34">
        <f>3723105.57</f>
        <v>3723105.57</v>
      </c>
      <c r="X60" s="34"/>
      <c r="Y60" s="34"/>
      <c r="Z60" s="34"/>
      <c r="AA60" s="34"/>
      <c r="AB60" s="35">
        <f>3432413.11</f>
        <v>3432413.11</v>
      </c>
      <c r="AC60" s="35"/>
    </row>
    <row r="61" spans="1:29" s="1" customFormat="1" ht="13.5" customHeight="1">
      <c r="A61" s="31" t="s">
        <v>105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127</v>
      </c>
      <c r="P61" s="32"/>
      <c r="Q61" s="32"/>
      <c r="R61" s="33" t="s">
        <v>106</v>
      </c>
      <c r="S61" s="33"/>
      <c r="T61" s="34">
        <f>10000</f>
        <v>10000</v>
      </c>
      <c r="U61" s="34"/>
      <c r="V61" s="34"/>
      <c r="W61" s="34">
        <f>5437.77</f>
        <v>5437.77</v>
      </c>
      <c r="X61" s="34"/>
      <c r="Y61" s="34"/>
      <c r="Z61" s="34"/>
      <c r="AA61" s="34"/>
      <c r="AB61" s="35">
        <f>4562.23</f>
        <v>4562.23</v>
      </c>
      <c r="AC61" s="35"/>
    </row>
    <row r="62" spans="1:29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128</v>
      </c>
      <c r="P62" s="32"/>
      <c r="Q62" s="32"/>
      <c r="R62" s="33" t="s">
        <v>109</v>
      </c>
      <c r="S62" s="33"/>
      <c r="T62" s="34">
        <f>133213</f>
        <v>133213</v>
      </c>
      <c r="U62" s="34"/>
      <c r="V62" s="34"/>
      <c r="W62" s="34">
        <f>73384.4</f>
        <v>73384.4</v>
      </c>
      <c r="X62" s="34"/>
      <c r="Y62" s="34"/>
      <c r="Z62" s="34"/>
      <c r="AA62" s="34"/>
      <c r="AB62" s="35">
        <f>59828.6</f>
        <v>59828.6</v>
      </c>
      <c r="AC62" s="35"/>
    </row>
    <row r="63" spans="1:29" s="1" customFormat="1" ht="13.5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128</v>
      </c>
      <c r="P63" s="32"/>
      <c r="Q63" s="32"/>
      <c r="R63" s="33" t="s">
        <v>111</v>
      </c>
      <c r="S63" s="33"/>
      <c r="T63" s="34">
        <f>5194</f>
        <v>5194</v>
      </c>
      <c r="U63" s="34"/>
      <c r="V63" s="34"/>
      <c r="W63" s="34">
        <f>5194</f>
        <v>5194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101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129</v>
      </c>
      <c r="P64" s="32"/>
      <c r="Q64" s="32"/>
      <c r="R64" s="33" t="s">
        <v>103</v>
      </c>
      <c r="S64" s="33"/>
      <c r="T64" s="34">
        <f>2142697.64</f>
        <v>2142697.64</v>
      </c>
      <c r="U64" s="34"/>
      <c r="V64" s="34"/>
      <c r="W64" s="34">
        <f>1016102.76</f>
        <v>1016102.76</v>
      </c>
      <c r="X64" s="34"/>
      <c r="Y64" s="34"/>
      <c r="Z64" s="34"/>
      <c r="AA64" s="34"/>
      <c r="AB64" s="35">
        <f>1126594.88</f>
        <v>1126594.88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131</v>
      </c>
      <c r="P65" s="32"/>
      <c r="Q65" s="32"/>
      <c r="R65" s="33" t="s">
        <v>132</v>
      </c>
      <c r="S65" s="33"/>
      <c r="T65" s="34">
        <f>28000</f>
        <v>28000</v>
      </c>
      <c r="U65" s="34"/>
      <c r="V65" s="34"/>
      <c r="W65" s="34">
        <f>25500</f>
        <v>25500</v>
      </c>
      <c r="X65" s="34"/>
      <c r="Y65" s="34"/>
      <c r="Z65" s="34"/>
      <c r="AA65" s="34"/>
      <c r="AB65" s="35">
        <f>2500</f>
        <v>2500</v>
      </c>
      <c r="AC65" s="35"/>
    </row>
    <row r="66" spans="1:29" s="1" customFormat="1" ht="13.5" customHeight="1">
      <c r="A66" s="31" t="s">
        <v>133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131</v>
      </c>
      <c r="P66" s="32"/>
      <c r="Q66" s="32"/>
      <c r="R66" s="33" t="s">
        <v>134</v>
      </c>
      <c r="S66" s="33"/>
      <c r="T66" s="34">
        <f>33004.45</f>
        <v>33004.45</v>
      </c>
      <c r="U66" s="34"/>
      <c r="V66" s="34"/>
      <c r="W66" s="34">
        <f>8512.19</f>
        <v>8512.19</v>
      </c>
      <c r="X66" s="34"/>
      <c r="Y66" s="34"/>
      <c r="Z66" s="34"/>
      <c r="AA66" s="34"/>
      <c r="AB66" s="35">
        <f>24492.26</f>
        <v>24492.26</v>
      </c>
      <c r="AC66" s="35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131</v>
      </c>
      <c r="P67" s="32"/>
      <c r="Q67" s="32"/>
      <c r="R67" s="33" t="s">
        <v>136</v>
      </c>
      <c r="S67" s="33"/>
      <c r="T67" s="34">
        <f>50000</f>
        <v>50000</v>
      </c>
      <c r="U67" s="34"/>
      <c r="V67" s="34"/>
      <c r="W67" s="34">
        <f>35466</f>
        <v>35466</v>
      </c>
      <c r="X67" s="34"/>
      <c r="Y67" s="34"/>
      <c r="Z67" s="34"/>
      <c r="AA67" s="34"/>
      <c r="AB67" s="35">
        <f>14534</f>
        <v>14534</v>
      </c>
      <c r="AC67" s="35"/>
    </row>
    <row r="68" spans="1:29" s="1" customFormat="1" ht="13.5" customHeight="1">
      <c r="A68" s="31" t="s">
        <v>110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131</v>
      </c>
      <c r="P68" s="32"/>
      <c r="Q68" s="32"/>
      <c r="R68" s="33" t="s">
        <v>111</v>
      </c>
      <c r="S68" s="33"/>
      <c r="T68" s="34">
        <f>31953</f>
        <v>31953</v>
      </c>
      <c r="U68" s="34"/>
      <c r="V68" s="34"/>
      <c r="W68" s="34">
        <f>23066</f>
        <v>23066</v>
      </c>
      <c r="X68" s="34"/>
      <c r="Y68" s="34"/>
      <c r="Z68" s="34"/>
      <c r="AA68" s="34"/>
      <c r="AB68" s="35">
        <f>8887</f>
        <v>8887</v>
      </c>
      <c r="AC68" s="35"/>
    </row>
    <row r="69" spans="1:29" s="1" customFormat="1" ht="24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131</v>
      </c>
      <c r="P69" s="32"/>
      <c r="Q69" s="32"/>
      <c r="R69" s="33" t="s">
        <v>138</v>
      </c>
      <c r="S69" s="33"/>
      <c r="T69" s="34">
        <f>3075</f>
        <v>3075</v>
      </c>
      <c r="U69" s="34"/>
      <c r="V69" s="34"/>
      <c r="W69" s="34">
        <f>3075</f>
        <v>3075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131</v>
      </c>
      <c r="P70" s="32"/>
      <c r="Q70" s="32"/>
      <c r="R70" s="33" t="s">
        <v>140</v>
      </c>
      <c r="S70" s="33"/>
      <c r="T70" s="34">
        <f>130000</f>
        <v>130000</v>
      </c>
      <c r="U70" s="34"/>
      <c r="V70" s="34"/>
      <c r="W70" s="34">
        <f>99024.59</f>
        <v>99024.59</v>
      </c>
      <c r="X70" s="34"/>
      <c r="Y70" s="34"/>
      <c r="Z70" s="34"/>
      <c r="AA70" s="34"/>
      <c r="AB70" s="35">
        <f>30975.41</f>
        <v>30975.41</v>
      </c>
      <c r="AC70" s="35"/>
    </row>
    <row r="71" spans="1:29" s="1" customFormat="1" ht="13.5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131</v>
      </c>
      <c r="P71" s="32"/>
      <c r="Q71" s="32"/>
      <c r="R71" s="33" t="s">
        <v>142</v>
      </c>
      <c r="S71" s="33"/>
      <c r="T71" s="34">
        <f>6294</f>
        <v>6294</v>
      </c>
      <c r="U71" s="34"/>
      <c r="V71" s="34"/>
      <c r="W71" s="34">
        <f>3520</f>
        <v>3520</v>
      </c>
      <c r="X71" s="34"/>
      <c r="Y71" s="34"/>
      <c r="Z71" s="34"/>
      <c r="AA71" s="34"/>
      <c r="AB71" s="35">
        <f>2774</f>
        <v>2774</v>
      </c>
      <c r="AC71" s="35"/>
    </row>
    <row r="72" spans="1:29" s="1" customFormat="1" ht="13.5" customHeight="1">
      <c r="A72" s="31" t="s">
        <v>143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131</v>
      </c>
      <c r="P72" s="32"/>
      <c r="Q72" s="32"/>
      <c r="R72" s="33" t="s">
        <v>144</v>
      </c>
      <c r="S72" s="33"/>
      <c r="T72" s="34">
        <f>142800</f>
        <v>142800</v>
      </c>
      <c r="U72" s="34"/>
      <c r="V72" s="34"/>
      <c r="W72" s="34">
        <f>107181</f>
        <v>107181</v>
      </c>
      <c r="X72" s="34"/>
      <c r="Y72" s="34"/>
      <c r="Z72" s="34"/>
      <c r="AA72" s="34"/>
      <c r="AB72" s="35">
        <f>35619</f>
        <v>35619</v>
      </c>
      <c r="AC72" s="35"/>
    </row>
    <row r="73" spans="1:29" s="1" customFormat="1" ht="24" customHeight="1">
      <c r="A73" s="31" t="s">
        <v>124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131</v>
      </c>
      <c r="P73" s="32"/>
      <c r="Q73" s="32"/>
      <c r="R73" s="33" t="s">
        <v>126</v>
      </c>
      <c r="S73" s="33"/>
      <c r="T73" s="34">
        <f>4000</f>
        <v>4000</v>
      </c>
      <c r="U73" s="34"/>
      <c r="V73" s="34"/>
      <c r="W73" s="36" t="s">
        <v>53</v>
      </c>
      <c r="X73" s="36"/>
      <c r="Y73" s="36"/>
      <c r="Z73" s="36"/>
      <c r="AA73" s="36"/>
      <c r="AB73" s="35">
        <f>4000</f>
        <v>4000</v>
      </c>
      <c r="AC73" s="35"/>
    </row>
    <row r="74" spans="1:29" s="1" customFormat="1" ht="13.5" customHeight="1">
      <c r="A74" s="31" t="s">
        <v>133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145</v>
      </c>
      <c r="P74" s="32"/>
      <c r="Q74" s="32"/>
      <c r="R74" s="33" t="s">
        <v>134</v>
      </c>
      <c r="S74" s="33"/>
      <c r="T74" s="34">
        <f>330029.5</f>
        <v>330029.5</v>
      </c>
      <c r="U74" s="34"/>
      <c r="V74" s="34"/>
      <c r="W74" s="34">
        <f>197691.12</f>
        <v>197691.12</v>
      </c>
      <c r="X74" s="34"/>
      <c r="Y74" s="34"/>
      <c r="Z74" s="34"/>
      <c r="AA74" s="34"/>
      <c r="AB74" s="35">
        <f>132338.38</f>
        <v>132338.38</v>
      </c>
      <c r="AC74" s="35"/>
    </row>
    <row r="75" spans="1:29" s="1" customFormat="1" ht="13.5" customHeight="1">
      <c r="A75" s="31" t="s">
        <v>130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146</v>
      </c>
      <c r="P75" s="32"/>
      <c r="Q75" s="32"/>
      <c r="R75" s="33" t="s">
        <v>132</v>
      </c>
      <c r="S75" s="33"/>
      <c r="T75" s="34">
        <f>75000</f>
        <v>75000</v>
      </c>
      <c r="U75" s="34"/>
      <c r="V75" s="34"/>
      <c r="W75" s="34">
        <f>38730.4</f>
        <v>38730.4</v>
      </c>
      <c r="X75" s="34"/>
      <c r="Y75" s="34"/>
      <c r="Z75" s="34"/>
      <c r="AA75" s="34"/>
      <c r="AB75" s="35">
        <f>36269.6</f>
        <v>36269.6</v>
      </c>
      <c r="AC75" s="35"/>
    </row>
    <row r="76" spans="1:29" s="1" customFormat="1" ht="13.5" customHeight="1">
      <c r="A76" s="31" t="s">
        <v>133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146</v>
      </c>
      <c r="P76" s="32"/>
      <c r="Q76" s="32"/>
      <c r="R76" s="33" t="s">
        <v>134</v>
      </c>
      <c r="S76" s="33"/>
      <c r="T76" s="34">
        <f>6966.05</f>
        <v>6966.05</v>
      </c>
      <c r="U76" s="34"/>
      <c r="V76" s="34"/>
      <c r="W76" s="34">
        <f>3750.95</f>
        <v>3750.95</v>
      </c>
      <c r="X76" s="34"/>
      <c r="Y76" s="34"/>
      <c r="Z76" s="34"/>
      <c r="AA76" s="34"/>
      <c r="AB76" s="35">
        <f>3215.1</f>
        <v>3215.1</v>
      </c>
      <c r="AC76" s="35"/>
    </row>
    <row r="77" spans="1:29" s="1" customFormat="1" ht="13.5" customHeight="1">
      <c r="A77" s="31" t="s">
        <v>110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146</v>
      </c>
      <c r="P77" s="32"/>
      <c r="Q77" s="32"/>
      <c r="R77" s="33" t="s">
        <v>111</v>
      </c>
      <c r="S77" s="33"/>
      <c r="T77" s="34">
        <f>46544</f>
        <v>46544</v>
      </c>
      <c r="U77" s="34"/>
      <c r="V77" s="34"/>
      <c r="W77" s="34">
        <f>22100</f>
        <v>22100</v>
      </c>
      <c r="X77" s="34"/>
      <c r="Y77" s="34"/>
      <c r="Z77" s="34"/>
      <c r="AA77" s="34"/>
      <c r="AB77" s="35">
        <f>24444</f>
        <v>24444</v>
      </c>
      <c r="AC77" s="35"/>
    </row>
    <row r="78" spans="1:29" s="1" customFormat="1" ht="13.5" customHeight="1">
      <c r="A78" s="31" t="s">
        <v>147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146</v>
      </c>
      <c r="P78" s="32"/>
      <c r="Q78" s="32"/>
      <c r="R78" s="33" t="s">
        <v>148</v>
      </c>
      <c r="S78" s="33"/>
      <c r="T78" s="34">
        <f>8706</f>
        <v>8706</v>
      </c>
      <c r="U78" s="34"/>
      <c r="V78" s="34"/>
      <c r="W78" s="34">
        <f>4206</f>
        <v>4206</v>
      </c>
      <c r="X78" s="34"/>
      <c r="Y78" s="34"/>
      <c r="Z78" s="34"/>
      <c r="AA78" s="34"/>
      <c r="AB78" s="35">
        <f>4500</f>
        <v>4500</v>
      </c>
      <c r="AC78" s="35"/>
    </row>
    <row r="79" spans="1:29" s="1" customFormat="1" ht="13.5" customHeight="1">
      <c r="A79" s="31" t="s">
        <v>149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146</v>
      </c>
      <c r="P79" s="32"/>
      <c r="Q79" s="32"/>
      <c r="R79" s="33" t="s">
        <v>150</v>
      </c>
      <c r="S79" s="33"/>
      <c r="T79" s="34">
        <f>64100</f>
        <v>64100</v>
      </c>
      <c r="U79" s="34"/>
      <c r="V79" s="34"/>
      <c r="W79" s="34">
        <f>64100</f>
        <v>64100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24" customHeight="1">
      <c r="A80" s="31" t="s">
        <v>137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146</v>
      </c>
      <c r="P80" s="32"/>
      <c r="Q80" s="32"/>
      <c r="R80" s="33" t="s">
        <v>138</v>
      </c>
      <c r="S80" s="33"/>
      <c r="T80" s="34">
        <f>3540</f>
        <v>3540</v>
      </c>
      <c r="U80" s="34"/>
      <c r="V80" s="34"/>
      <c r="W80" s="34">
        <f>3540</f>
        <v>3540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143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146</v>
      </c>
      <c r="P81" s="32"/>
      <c r="Q81" s="32"/>
      <c r="R81" s="33" t="s">
        <v>144</v>
      </c>
      <c r="S81" s="33"/>
      <c r="T81" s="34">
        <f>13373.19</f>
        <v>13373.19</v>
      </c>
      <c r="U81" s="34"/>
      <c r="V81" s="34"/>
      <c r="W81" s="34">
        <f>7200</f>
        <v>7200</v>
      </c>
      <c r="X81" s="34"/>
      <c r="Y81" s="34"/>
      <c r="Z81" s="34"/>
      <c r="AA81" s="34"/>
      <c r="AB81" s="35">
        <f>6173.19</f>
        <v>6173.19</v>
      </c>
      <c r="AC81" s="35"/>
    </row>
    <row r="82" spans="1:29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152</v>
      </c>
      <c r="P82" s="32"/>
      <c r="Q82" s="32"/>
      <c r="R82" s="33" t="s">
        <v>153</v>
      </c>
      <c r="S82" s="33"/>
      <c r="T82" s="34">
        <f>7839.6</f>
        <v>7839.6</v>
      </c>
      <c r="U82" s="34"/>
      <c r="V82" s="34"/>
      <c r="W82" s="36" t="s">
        <v>53</v>
      </c>
      <c r="X82" s="36"/>
      <c r="Y82" s="36"/>
      <c r="Z82" s="36"/>
      <c r="AA82" s="36"/>
      <c r="AB82" s="35">
        <f>7839.6</f>
        <v>7839.6</v>
      </c>
      <c r="AC82" s="35"/>
    </row>
    <row r="83" spans="1:29" s="1" customFormat="1" ht="13.5" customHeight="1">
      <c r="A83" s="31" t="s">
        <v>151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154</v>
      </c>
      <c r="P83" s="32"/>
      <c r="Q83" s="32"/>
      <c r="R83" s="33" t="s">
        <v>153</v>
      </c>
      <c r="S83" s="33"/>
      <c r="T83" s="34">
        <f>2160.4</f>
        <v>2160.4</v>
      </c>
      <c r="U83" s="34"/>
      <c r="V83" s="34"/>
      <c r="W83" s="34">
        <f>2160.4</f>
        <v>2160.4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155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156</v>
      </c>
      <c r="P84" s="32"/>
      <c r="Q84" s="32"/>
      <c r="R84" s="33" t="s">
        <v>157</v>
      </c>
      <c r="S84" s="33"/>
      <c r="T84" s="34">
        <f>100000</f>
        <v>100000</v>
      </c>
      <c r="U84" s="34"/>
      <c r="V84" s="34"/>
      <c r="W84" s="34">
        <f>100000</f>
        <v>100000</v>
      </c>
      <c r="X84" s="34"/>
      <c r="Y84" s="34"/>
      <c r="Z84" s="34"/>
      <c r="AA84" s="34"/>
      <c r="AB84" s="35">
        <f>0</f>
        <v>0</v>
      </c>
      <c r="AC84" s="35"/>
    </row>
    <row r="85" spans="1:29" s="1" customFormat="1" ht="13.5" customHeight="1">
      <c r="A85" s="31" t="s">
        <v>98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158</v>
      </c>
      <c r="P85" s="32"/>
      <c r="Q85" s="32"/>
      <c r="R85" s="33" t="s">
        <v>100</v>
      </c>
      <c r="S85" s="33"/>
      <c r="T85" s="34">
        <f>355218.13</f>
        <v>355218.13</v>
      </c>
      <c r="U85" s="34"/>
      <c r="V85" s="34"/>
      <c r="W85" s="34">
        <f>191810.45</f>
        <v>191810.45</v>
      </c>
      <c r="X85" s="34"/>
      <c r="Y85" s="34"/>
      <c r="Z85" s="34"/>
      <c r="AA85" s="34"/>
      <c r="AB85" s="35">
        <f>163407.68</f>
        <v>163407.68</v>
      </c>
      <c r="AC85" s="35"/>
    </row>
    <row r="86" spans="1:29" s="1" customFormat="1" ht="13.5" customHeight="1">
      <c r="A86" s="31" t="s">
        <v>159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160</v>
      </c>
      <c r="P86" s="32"/>
      <c r="Q86" s="32"/>
      <c r="R86" s="33" t="s">
        <v>161</v>
      </c>
      <c r="S86" s="33"/>
      <c r="T86" s="34">
        <f>1000</f>
        <v>1000</v>
      </c>
      <c r="U86" s="34"/>
      <c r="V86" s="34"/>
      <c r="W86" s="36" t="s">
        <v>53</v>
      </c>
      <c r="X86" s="36"/>
      <c r="Y86" s="36"/>
      <c r="Z86" s="36"/>
      <c r="AA86" s="36"/>
      <c r="AB86" s="35">
        <f>1000</f>
        <v>1000</v>
      </c>
      <c r="AC86" s="35"/>
    </row>
    <row r="87" spans="1:29" s="1" customFormat="1" ht="13.5" customHeight="1">
      <c r="A87" s="31" t="s">
        <v>110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160</v>
      </c>
      <c r="P87" s="32"/>
      <c r="Q87" s="32"/>
      <c r="R87" s="33" t="s">
        <v>111</v>
      </c>
      <c r="S87" s="33"/>
      <c r="T87" s="34">
        <f>2000</f>
        <v>2000</v>
      </c>
      <c r="U87" s="34"/>
      <c r="V87" s="34"/>
      <c r="W87" s="34">
        <f>1502</f>
        <v>1502</v>
      </c>
      <c r="X87" s="34"/>
      <c r="Y87" s="34"/>
      <c r="Z87" s="34"/>
      <c r="AA87" s="34"/>
      <c r="AB87" s="35">
        <f>498</f>
        <v>498</v>
      </c>
      <c r="AC87" s="35"/>
    </row>
    <row r="88" spans="1:29" s="1" customFormat="1" ht="13.5" customHeight="1">
      <c r="A88" s="31" t="s">
        <v>101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162</v>
      </c>
      <c r="P88" s="32"/>
      <c r="Q88" s="32"/>
      <c r="R88" s="33" t="s">
        <v>103</v>
      </c>
      <c r="S88" s="33"/>
      <c r="T88" s="34">
        <f>108181.87</f>
        <v>108181.87</v>
      </c>
      <c r="U88" s="34"/>
      <c r="V88" s="34"/>
      <c r="W88" s="34">
        <f>53742.55</f>
        <v>53742.55</v>
      </c>
      <c r="X88" s="34"/>
      <c r="Y88" s="34"/>
      <c r="Z88" s="34"/>
      <c r="AA88" s="34"/>
      <c r="AB88" s="35">
        <f>54439.32</f>
        <v>54439.32</v>
      </c>
      <c r="AC88" s="35"/>
    </row>
    <row r="89" spans="1:29" s="1" customFormat="1" ht="13.5" customHeight="1">
      <c r="A89" s="31" t="s">
        <v>98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163</v>
      </c>
      <c r="P89" s="32"/>
      <c r="Q89" s="32"/>
      <c r="R89" s="33" t="s">
        <v>100</v>
      </c>
      <c r="S89" s="33"/>
      <c r="T89" s="34">
        <f>49751.09</f>
        <v>49751.09</v>
      </c>
      <c r="U89" s="34"/>
      <c r="V89" s="34"/>
      <c r="W89" s="34">
        <f>28202.68</f>
        <v>28202.68</v>
      </c>
      <c r="X89" s="34"/>
      <c r="Y89" s="34"/>
      <c r="Z89" s="34"/>
      <c r="AA89" s="34"/>
      <c r="AB89" s="35">
        <f>21548.41</f>
        <v>21548.41</v>
      </c>
      <c r="AC89" s="35"/>
    </row>
    <row r="90" spans="1:29" s="1" customFormat="1" ht="13.5" customHeight="1">
      <c r="A90" s="31" t="s">
        <v>101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164</v>
      </c>
      <c r="P90" s="32"/>
      <c r="Q90" s="32"/>
      <c r="R90" s="33" t="s">
        <v>103</v>
      </c>
      <c r="S90" s="33"/>
      <c r="T90" s="34">
        <f>15024.83</f>
        <v>15024.83</v>
      </c>
      <c r="U90" s="34"/>
      <c r="V90" s="34"/>
      <c r="W90" s="34">
        <f>7300.46</f>
        <v>7300.46</v>
      </c>
      <c r="X90" s="34"/>
      <c r="Y90" s="34"/>
      <c r="Z90" s="34"/>
      <c r="AA90" s="34"/>
      <c r="AB90" s="35">
        <f>7724.37</f>
        <v>7724.37</v>
      </c>
      <c r="AC90" s="35"/>
    </row>
    <row r="91" spans="1:29" s="1" customFormat="1" ht="13.5" customHeight="1">
      <c r="A91" s="31" t="s">
        <v>98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165</v>
      </c>
      <c r="P91" s="32"/>
      <c r="Q91" s="32"/>
      <c r="R91" s="33" t="s">
        <v>100</v>
      </c>
      <c r="S91" s="33"/>
      <c r="T91" s="34">
        <f>15072.23</f>
        <v>15072.23</v>
      </c>
      <c r="U91" s="34"/>
      <c r="V91" s="34"/>
      <c r="W91" s="34">
        <f>8178.71</f>
        <v>8178.71</v>
      </c>
      <c r="X91" s="34"/>
      <c r="Y91" s="34"/>
      <c r="Z91" s="34"/>
      <c r="AA91" s="34"/>
      <c r="AB91" s="35">
        <f>6893.52</f>
        <v>6893.52</v>
      </c>
      <c r="AC91" s="35"/>
    </row>
    <row r="92" spans="1:29" s="1" customFormat="1" ht="13.5" customHeight="1">
      <c r="A92" s="31" t="s">
        <v>101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166</v>
      </c>
      <c r="P92" s="32"/>
      <c r="Q92" s="32"/>
      <c r="R92" s="33" t="s">
        <v>103</v>
      </c>
      <c r="S92" s="33"/>
      <c r="T92" s="34">
        <f>4551.79</f>
        <v>4551.79</v>
      </c>
      <c r="U92" s="34"/>
      <c r="V92" s="34"/>
      <c r="W92" s="34">
        <f>3279.11</f>
        <v>3279.11</v>
      </c>
      <c r="X92" s="34"/>
      <c r="Y92" s="34"/>
      <c r="Z92" s="34"/>
      <c r="AA92" s="34"/>
      <c r="AB92" s="35">
        <f>1272.68</f>
        <v>1272.68</v>
      </c>
      <c r="AC92" s="35"/>
    </row>
    <row r="93" spans="1:29" s="1" customFormat="1" ht="24" customHeight="1">
      <c r="A93" s="31" t="s">
        <v>124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167</v>
      </c>
      <c r="P93" s="32"/>
      <c r="Q93" s="32"/>
      <c r="R93" s="33" t="s">
        <v>126</v>
      </c>
      <c r="S93" s="33"/>
      <c r="T93" s="34">
        <f>10000</f>
        <v>10000</v>
      </c>
      <c r="U93" s="34"/>
      <c r="V93" s="34"/>
      <c r="W93" s="34">
        <f>7109.38</f>
        <v>7109.38</v>
      </c>
      <c r="X93" s="34"/>
      <c r="Y93" s="34"/>
      <c r="Z93" s="34"/>
      <c r="AA93" s="34"/>
      <c r="AB93" s="35">
        <f>2890.62</f>
        <v>2890.62</v>
      </c>
      <c r="AC93" s="35"/>
    </row>
    <row r="94" spans="1:29" s="1" customFormat="1" ht="24" customHeight="1">
      <c r="A94" s="31" t="s">
        <v>124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168</v>
      </c>
      <c r="P94" s="32"/>
      <c r="Q94" s="32"/>
      <c r="R94" s="33" t="s">
        <v>126</v>
      </c>
      <c r="S94" s="33"/>
      <c r="T94" s="34">
        <f>10000</f>
        <v>10000</v>
      </c>
      <c r="U94" s="34"/>
      <c r="V94" s="34"/>
      <c r="W94" s="36" t="s">
        <v>53</v>
      </c>
      <c r="X94" s="36"/>
      <c r="Y94" s="36"/>
      <c r="Z94" s="36"/>
      <c r="AA94" s="36"/>
      <c r="AB94" s="35">
        <f>10000</f>
        <v>10000</v>
      </c>
      <c r="AC94" s="35"/>
    </row>
    <row r="95" spans="1:29" s="1" customFormat="1" ht="13.5" customHeight="1">
      <c r="A95" s="31" t="s">
        <v>110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169</v>
      </c>
      <c r="P95" s="32"/>
      <c r="Q95" s="32"/>
      <c r="R95" s="33" t="s">
        <v>111</v>
      </c>
      <c r="S95" s="33"/>
      <c r="T95" s="34">
        <f>5284</f>
        <v>5284</v>
      </c>
      <c r="U95" s="34"/>
      <c r="V95" s="34"/>
      <c r="W95" s="36" t="s">
        <v>53</v>
      </c>
      <c r="X95" s="36"/>
      <c r="Y95" s="36"/>
      <c r="Z95" s="36"/>
      <c r="AA95" s="36"/>
      <c r="AB95" s="35">
        <f>5284</f>
        <v>5284</v>
      </c>
      <c r="AC95" s="35"/>
    </row>
    <row r="96" spans="1:29" s="1" customFormat="1" ht="13.5" customHeight="1">
      <c r="A96" s="31" t="s">
        <v>110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170</v>
      </c>
      <c r="P96" s="32"/>
      <c r="Q96" s="32"/>
      <c r="R96" s="33" t="s">
        <v>111</v>
      </c>
      <c r="S96" s="33"/>
      <c r="T96" s="34">
        <f>23660</f>
        <v>23660</v>
      </c>
      <c r="U96" s="34"/>
      <c r="V96" s="34"/>
      <c r="W96" s="34">
        <f>11920</f>
        <v>11920</v>
      </c>
      <c r="X96" s="34"/>
      <c r="Y96" s="34"/>
      <c r="Z96" s="34"/>
      <c r="AA96" s="34"/>
      <c r="AB96" s="35">
        <f>11740</f>
        <v>11740</v>
      </c>
      <c r="AC96" s="35"/>
    </row>
    <row r="97" spans="1:29" s="1" customFormat="1" ht="13.5" customHeight="1">
      <c r="A97" s="31" t="s">
        <v>110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171</v>
      </c>
      <c r="P97" s="32"/>
      <c r="Q97" s="32"/>
      <c r="R97" s="33" t="s">
        <v>111</v>
      </c>
      <c r="S97" s="33"/>
      <c r="T97" s="34">
        <f>5915</f>
        <v>5915</v>
      </c>
      <c r="U97" s="34"/>
      <c r="V97" s="34"/>
      <c r="W97" s="34">
        <f>2980</f>
        <v>2980</v>
      </c>
      <c r="X97" s="34"/>
      <c r="Y97" s="34"/>
      <c r="Z97" s="34"/>
      <c r="AA97" s="34"/>
      <c r="AB97" s="35">
        <f>2935</f>
        <v>2935</v>
      </c>
      <c r="AC97" s="35"/>
    </row>
    <row r="98" spans="1:29" s="1" customFormat="1" ht="13.5" customHeight="1">
      <c r="A98" s="31" t="s">
        <v>98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172</v>
      </c>
      <c r="P98" s="32"/>
      <c r="Q98" s="32"/>
      <c r="R98" s="33" t="s">
        <v>100</v>
      </c>
      <c r="S98" s="33"/>
      <c r="T98" s="34">
        <f>783007.31</f>
        <v>783007.31</v>
      </c>
      <c r="U98" s="34"/>
      <c r="V98" s="34"/>
      <c r="W98" s="34">
        <f>218589.15</f>
        <v>218589.15</v>
      </c>
      <c r="X98" s="34"/>
      <c r="Y98" s="34"/>
      <c r="Z98" s="34"/>
      <c r="AA98" s="34"/>
      <c r="AB98" s="35">
        <f>564418.16</f>
        <v>564418.16</v>
      </c>
      <c r="AC98" s="35"/>
    </row>
    <row r="99" spans="1:29" s="1" customFormat="1" ht="13.5" customHeight="1">
      <c r="A99" s="31" t="s">
        <v>101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173</v>
      </c>
      <c r="P99" s="32"/>
      <c r="Q99" s="32"/>
      <c r="R99" s="33" t="s">
        <v>103</v>
      </c>
      <c r="S99" s="33"/>
      <c r="T99" s="34">
        <f>237273.08</f>
        <v>237273.08</v>
      </c>
      <c r="U99" s="34"/>
      <c r="V99" s="34"/>
      <c r="W99" s="34">
        <f>58030.88</f>
        <v>58030.88</v>
      </c>
      <c r="X99" s="34"/>
      <c r="Y99" s="34"/>
      <c r="Z99" s="34"/>
      <c r="AA99" s="34"/>
      <c r="AB99" s="35">
        <f>179242.2</f>
        <v>179242.2</v>
      </c>
      <c r="AC99" s="35"/>
    </row>
    <row r="100" spans="1:29" s="1" customFormat="1" ht="13.5" customHeight="1">
      <c r="A100" s="31" t="s">
        <v>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174</v>
      </c>
      <c r="P100" s="32"/>
      <c r="Q100" s="32"/>
      <c r="R100" s="33" t="s">
        <v>100</v>
      </c>
      <c r="S100" s="33"/>
      <c r="T100" s="34">
        <f>1348562.38</f>
        <v>1348562.38</v>
      </c>
      <c r="U100" s="34"/>
      <c r="V100" s="34"/>
      <c r="W100" s="34">
        <f>388023.96</f>
        <v>388023.96</v>
      </c>
      <c r="X100" s="34"/>
      <c r="Y100" s="34"/>
      <c r="Z100" s="34"/>
      <c r="AA100" s="34"/>
      <c r="AB100" s="35">
        <f>960538.42</f>
        <v>960538.42</v>
      </c>
      <c r="AC100" s="35"/>
    </row>
    <row r="101" spans="1:29" s="1" customFormat="1" ht="13.5" customHeight="1">
      <c r="A101" s="31" t="s">
        <v>101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175</v>
      </c>
      <c r="P101" s="32"/>
      <c r="Q101" s="32"/>
      <c r="R101" s="33" t="s">
        <v>103</v>
      </c>
      <c r="S101" s="33"/>
      <c r="T101" s="34">
        <f>407265.62</f>
        <v>407265.62</v>
      </c>
      <c r="U101" s="34"/>
      <c r="V101" s="34"/>
      <c r="W101" s="34">
        <f>137797.69</f>
        <v>137797.69</v>
      </c>
      <c r="X101" s="34"/>
      <c r="Y101" s="34"/>
      <c r="Z101" s="34"/>
      <c r="AA101" s="34"/>
      <c r="AB101" s="35">
        <f>269467.93</f>
        <v>269467.93</v>
      </c>
      <c r="AC101" s="35"/>
    </row>
    <row r="102" spans="1:29" s="1" customFormat="1" ht="13.5" customHeight="1">
      <c r="A102" s="31" t="s">
        <v>98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176</v>
      </c>
      <c r="P102" s="32"/>
      <c r="Q102" s="32"/>
      <c r="R102" s="33" t="s">
        <v>100</v>
      </c>
      <c r="S102" s="33"/>
      <c r="T102" s="34">
        <f>151.12</f>
        <v>151.12</v>
      </c>
      <c r="U102" s="34"/>
      <c r="V102" s="34"/>
      <c r="W102" s="36" t="s">
        <v>53</v>
      </c>
      <c r="X102" s="36"/>
      <c r="Y102" s="36"/>
      <c r="Z102" s="36"/>
      <c r="AA102" s="36"/>
      <c r="AB102" s="35">
        <f>151.12</f>
        <v>151.12</v>
      </c>
      <c r="AC102" s="35"/>
    </row>
    <row r="103" spans="1:29" s="1" customFormat="1" ht="13.5" customHeight="1">
      <c r="A103" s="31" t="s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177</v>
      </c>
      <c r="P103" s="32"/>
      <c r="Q103" s="32"/>
      <c r="R103" s="33" t="s">
        <v>103</v>
      </c>
      <c r="S103" s="33"/>
      <c r="T103" s="34">
        <f>45.64</f>
        <v>45.64</v>
      </c>
      <c r="U103" s="34"/>
      <c r="V103" s="34"/>
      <c r="W103" s="36" t="s">
        <v>53</v>
      </c>
      <c r="X103" s="36"/>
      <c r="Y103" s="36"/>
      <c r="Z103" s="36"/>
      <c r="AA103" s="36"/>
      <c r="AB103" s="35">
        <f>45.64</f>
        <v>45.64</v>
      </c>
      <c r="AC103" s="35"/>
    </row>
    <row r="104" spans="1:29" s="1" customFormat="1" ht="13.5" customHeight="1">
      <c r="A104" s="31" t="s">
        <v>110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178</v>
      </c>
      <c r="P104" s="32"/>
      <c r="Q104" s="32"/>
      <c r="R104" s="33" t="s">
        <v>111</v>
      </c>
      <c r="S104" s="33"/>
      <c r="T104" s="34">
        <f>19488.95</f>
        <v>19488.95</v>
      </c>
      <c r="U104" s="34"/>
      <c r="V104" s="34"/>
      <c r="W104" s="36" t="s">
        <v>53</v>
      </c>
      <c r="X104" s="36"/>
      <c r="Y104" s="36"/>
      <c r="Z104" s="36"/>
      <c r="AA104" s="36"/>
      <c r="AB104" s="35">
        <f>19488.95</f>
        <v>19488.95</v>
      </c>
      <c r="AC104" s="35"/>
    </row>
    <row r="105" spans="1:29" s="1" customFormat="1" ht="13.5" customHeight="1">
      <c r="A105" s="31" t="s">
        <v>110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179</v>
      </c>
      <c r="P105" s="32"/>
      <c r="Q105" s="32"/>
      <c r="R105" s="33" t="s">
        <v>111</v>
      </c>
      <c r="S105" s="33"/>
      <c r="T105" s="34">
        <f>10511.05</f>
        <v>10511.05</v>
      </c>
      <c r="U105" s="34"/>
      <c r="V105" s="34"/>
      <c r="W105" s="36" t="s">
        <v>53</v>
      </c>
      <c r="X105" s="36"/>
      <c r="Y105" s="36"/>
      <c r="Z105" s="36"/>
      <c r="AA105" s="36"/>
      <c r="AB105" s="35">
        <f>10511.05</f>
        <v>10511.05</v>
      </c>
      <c r="AC105" s="35"/>
    </row>
    <row r="106" spans="1:29" s="1" customFormat="1" ht="13.5" customHeight="1">
      <c r="A106" s="31" t="s">
        <v>135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180</v>
      </c>
      <c r="P106" s="32"/>
      <c r="Q106" s="32"/>
      <c r="R106" s="33" t="s">
        <v>136</v>
      </c>
      <c r="S106" s="33"/>
      <c r="T106" s="34">
        <f>1200000</f>
        <v>1200000</v>
      </c>
      <c r="U106" s="34"/>
      <c r="V106" s="34"/>
      <c r="W106" s="34">
        <f>744189.85</f>
        <v>744189.85</v>
      </c>
      <c r="X106" s="34"/>
      <c r="Y106" s="34"/>
      <c r="Z106" s="34"/>
      <c r="AA106" s="34"/>
      <c r="AB106" s="35">
        <f>455810.15</f>
        <v>455810.15</v>
      </c>
      <c r="AC106" s="35"/>
    </row>
    <row r="107" spans="1:29" s="1" customFormat="1" ht="13.5" customHeight="1">
      <c r="A107" s="31" t="s">
        <v>135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181</v>
      </c>
      <c r="P107" s="32"/>
      <c r="Q107" s="32"/>
      <c r="R107" s="33" t="s">
        <v>136</v>
      </c>
      <c r="S107" s="33"/>
      <c r="T107" s="34">
        <f>750000</f>
        <v>750000</v>
      </c>
      <c r="U107" s="34"/>
      <c r="V107" s="34"/>
      <c r="W107" s="34">
        <f>308176.74</f>
        <v>308176.74</v>
      </c>
      <c r="X107" s="34"/>
      <c r="Y107" s="34"/>
      <c r="Z107" s="34"/>
      <c r="AA107" s="34"/>
      <c r="AB107" s="35">
        <f>441823.26</f>
        <v>441823.26</v>
      </c>
      <c r="AC107" s="35"/>
    </row>
    <row r="108" spans="1:29" s="1" customFormat="1" ht="13.5" customHeight="1">
      <c r="A108" s="31" t="s">
        <v>182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183</v>
      </c>
      <c r="P108" s="32"/>
      <c r="Q108" s="32"/>
      <c r="R108" s="33" t="s">
        <v>184</v>
      </c>
      <c r="S108" s="33"/>
      <c r="T108" s="34">
        <f>828486.14</f>
        <v>828486.14</v>
      </c>
      <c r="U108" s="34"/>
      <c r="V108" s="34"/>
      <c r="W108" s="34">
        <f>828486.14</f>
        <v>828486.14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5" customHeight="1">
      <c r="A109" s="31" t="s">
        <v>143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183</v>
      </c>
      <c r="P109" s="32"/>
      <c r="Q109" s="32"/>
      <c r="R109" s="33" t="s">
        <v>144</v>
      </c>
      <c r="S109" s="33"/>
      <c r="T109" s="34">
        <f>421300</f>
        <v>421300</v>
      </c>
      <c r="U109" s="34"/>
      <c r="V109" s="34"/>
      <c r="W109" s="34">
        <f>421300</f>
        <v>421300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133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185</v>
      </c>
      <c r="P110" s="32"/>
      <c r="Q110" s="32"/>
      <c r="R110" s="33" t="s">
        <v>134</v>
      </c>
      <c r="S110" s="33"/>
      <c r="T110" s="34">
        <f>1081830.23</f>
        <v>1081830.23</v>
      </c>
      <c r="U110" s="34"/>
      <c r="V110" s="34"/>
      <c r="W110" s="34">
        <f>703940.1</f>
        <v>703940.1</v>
      </c>
      <c r="X110" s="34"/>
      <c r="Y110" s="34"/>
      <c r="Z110" s="34"/>
      <c r="AA110" s="34"/>
      <c r="AB110" s="35">
        <f>377890.13</f>
        <v>377890.13</v>
      </c>
      <c r="AC110" s="35"/>
    </row>
    <row r="111" spans="1:29" s="1" customFormat="1" ht="13.5" customHeight="1">
      <c r="A111" s="31" t="s">
        <v>182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186</v>
      </c>
      <c r="P111" s="32"/>
      <c r="Q111" s="32"/>
      <c r="R111" s="33" t="s">
        <v>184</v>
      </c>
      <c r="S111" s="33"/>
      <c r="T111" s="34">
        <f>1000000</f>
        <v>1000000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1000000</f>
        <v>1000000</v>
      </c>
      <c r="AC111" s="35"/>
    </row>
    <row r="112" spans="1:29" s="1" customFormat="1" ht="13.5" customHeight="1">
      <c r="A112" s="31" t="s">
        <v>135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187</v>
      </c>
      <c r="P112" s="32"/>
      <c r="Q112" s="32"/>
      <c r="R112" s="33" t="s">
        <v>136</v>
      </c>
      <c r="S112" s="33"/>
      <c r="T112" s="34">
        <f>200000</f>
        <v>200000</v>
      </c>
      <c r="U112" s="34"/>
      <c r="V112" s="34"/>
      <c r="W112" s="36" t="s">
        <v>53</v>
      </c>
      <c r="X112" s="36"/>
      <c r="Y112" s="36"/>
      <c r="Z112" s="36"/>
      <c r="AA112" s="36"/>
      <c r="AB112" s="35">
        <f>200000</f>
        <v>200000</v>
      </c>
      <c r="AC112" s="35"/>
    </row>
    <row r="113" spans="1:29" s="1" customFormat="1" ht="13.5" customHeight="1">
      <c r="A113" s="31" t="s">
        <v>141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187</v>
      </c>
      <c r="P113" s="32"/>
      <c r="Q113" s="32"/>
      <c r="R113" s="33" t="s">
        <v>142</v>
      </c>
      <c r="S113" s="33"/>
      <c r="T113" s="34">
        <f>434325.4</f>
        <v>434325.4</v>
      </c>
      <c r="U113" s="34"/>
      <c r="V113" s="34"/>
      <c r="W113" s="34">
        <f>434325.4</f>
        <v>434325.4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135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188</v>
      </c>
      <c r="P114" s="32"/>
      <c r="Q114" s="32"/>
      <c r="R114" s="33" t="s">
        <v>136</v>
      </c>
      <c r="S114" s="33"/>
      <c r="T114" s="34">
        <f>3245467</f>
        <v>3245467</v>
      </c>
      <c r="U114" s="34"/>
      <c r="V114" s="34"/>
      <c r="W114" s="36" t="s">
        <v>53</v>
      </c>
      <c r="X114" s="36"/>
      <c r="Y114" s="36"/>
      <c r="Z114" s="36"/>
      <c r="AA114" s="36"/>
      <c r="AB114" s="35">
        <f>3245467</f>
        <v>3245467</v>
      </c>
      <c r="AC114" s="35"/>
    </row>
    <row r="115" spans="1:29" s="1" customFormat="1" ht="13.5" customHeight="1">
      <c r="A115" s="31" t="s">
        <v>135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189</v>
      </c>
      <c r="P115" s="32"/>
      <c r="Q115" s="32"/>
      <c r="R115" s="33" t="s">
        <v>136</v>
      </c>
      <c r="S115" s="33"/>
      <c r="T115" s="34">
        <f>158224.66</f>
        <v>158224.66</v>
      </c>
      <c r="U115" s="34"/>
      <c r="V115" s="34"/>
      <c r="W115" s="36" t="s">
        <v>53</v>
      </c>
      <c r="X115" s="36"/>
      <c r="Y115" s="36"/>
      <c r="Z115" s="36"/>
      <c r="AA115" s="36"/>
      <c r="AB115" s="35">
        <f>158224.66</f>
        <v>158224.66</v>
      </c>
      <c r="AC115" s="35"/>
    </row>
    <row r="116" spans="1:29" s="1" customFormat="1" ht="13.5" customHeight="1">
      <c r="A116" s="31" t="s">
        <v>141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189</v>
      </c>
      <c r="P116" s="32"/>
      <c r="Q116" s="32"/>
      <c r="R116" s="33" t="s">
        <v>142</v>
      </c>
      <c r="S116" s="33"/>
      <c r="T116" s="34">
        <f>10000</f>
        <v>10000</v>
      </c>
      <c r="U116" s="34"/>
      <c r="V116" s="34"/>
      <c r="W116" s="36" t="s">
        <v>53</v>
      </c>
      <c r="X116" s="36"/>
      <c r="Y116" s="36"/>
      <c r="Z116" s="36"/>
      <c r="AA116" s="36"/>
      <c r="AB116" s="35">
        <f>10000</f>
        <v>10000</v>
      </c>
      <c r="AC116" s="35"/>
    </row>
    <row r="117" spans="1:29" s="1" customFormat="1" ht="13.5" customHeight="1">
      <c r="A117" s="31" t="s">
        <v>110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190</v>
      </c>
      <c r="P117" s="32"/>
      <c r="Q117" s="32"/>
      <c r="R117" s="33" t="s">
        <v>111</v>
      </c>
      <c r="S117" s="33"/>
      <c r="T117" s="34">
        <f>354700</f>
        <v>354700</v>
      </c>
      <c r="U117" s="34"/>
      <c r="V117" s="34"/>
      <c r="W117" s="34">
        <f>354700</f>
        <v>354700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191</v>
      </c>
      <c r="P118" s="32"/>
      <c r="Q118" s="32"/>
      <c r="R118" s="33" t="s">
        <v>136</v>
      </c>
      <c r="S118" s="33"/>
      <c r="T118" s="34">
        <f>489158.8</f>
        <v>489158.8</v>
      </c>
      <c r="U118" s="34"/>
      <c r="V118" s="34"/>
      <c r="W118" s="36" t="s">
        <v>53</v>
      </c>
      <c r="X118" s="36"/>
      <c r="Y118" s="36"/>
      <c r="Z118" s="36"/>
      <c r="AA118" s="36"/>
      <c r="AB118" s="35">
        <f>489158.8</f>
        <v>489158.8</v>
      </c>
      <c r="AC118" s="35"/>
    </row>
    <row r="119" spans="1:29" s="1" customFormat="1" ht="13.5" customHeight="1">
      <c r="A119" s="31" t="s">
        <v>143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191</v>
      </c>
      <c r="P119" s="32"/>
      <c r="Q119" s="32"/>
      <c r="R119" s="33" t="s">
        <v>144</v>
      </c>
      <c r="S119" s="33"/>
      <c r="T119" s="34">
        <f>22263</f>
        <v>22263</v>
      </c>
      <c r="U119" s="34"/>
      <c r="V119" s="34"/>
      <c r="W119" s="36" t="s">
        <v>53</v>
      </c>
      <c r="X119" s="36"/>
      <c r="Y119" s="36"/>
      <c r="Z119" s="36"/>
      <c r="AA119" s="36"/>
      <c r="AB119" s="35">
        <f>22263</f>
        <v>22263</v>
      </c>
      <c r="AC119" s="35"/>
    </row>
    <row r="120" spans="1:29" s="1" customFormat="1" ht="24" customHeight="1">
      <c r="A120" s="31" t="s">
        <v>124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191</v>
      </c>
      <c r="P120" s="32"/>
      <c r="Q120" s="32"/>
      <c r="R120" s="33" t="s">
        <v>126</v>
      </c>
      <c r="S120" s="33"/>
      <c r="T120" s="34">
        <f>9200</f>
        <v>9200</v>
      </c>
      <c r="U120" s="34"/>
      <c r="V120" s="34"/>
      <c r="W120" s="34">
        <f>9200</f>
        <v>9200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192</v>
      </c>
      <c r="P121" s="32"/>
      <c r="Q121" s="32"/>
      <c r="R121" s="33" t="s">
        <v>136</v>
      </c>
      <c r="S121" s="33"/>
      <c r="T121" s="34">
        <f>100000</f>
        <v>100000</v>
      </c>
      <c r="U121" s="34"/>
      <c r="V121" s="34"/>
      <c r="W121" s="36" t="s">
        <v>53</v>
      </c>
      <c r="X121" s="36"/>
      <c r="Y121" s="36"/>
      <c r="Z121" s="36"/>
      <c r="AA121" s="36"/>
      <c r="AB121" s="35">
        <f>100000</f>
        <v>100000</v>
      </c>
      <c r="AC121" s="35"/>
    </row>
    <row r="122" spans="1:29" s="1" customFormat="1" ht="13.5" customHeight="1">
      <c r="A122" s="31" t="s">
        <v>110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193</v>
      </c>
      <c r="P122" s="32"/>
      <c r="Q122" s="32"/>
      <c r="R122" s="33" t="s">
        <v>111</v>
      </c>
      <c r="S122" s="33"/>
      <c r="T122" s="34">
        <f>76080</f>
        <v>76080</v>
      </c>
      <c r="U122" s="34"/>
      <c r="V122" s="34"/>
      <c r="W122" s="34">
        <f>64824</f>
        <v>64824</v>
      </c>
      <c r="X122" s="34"/>
      <c r="Y122" s="34"/>
      <c r="Z122" s="34"/>
      <c r="AA122" s="34"/>
      <c r="AB122" s="35">
        <f>11256</f>
        <v>11256</v>
      </c>
      <c r="AC122" s="35"/>
    </row>
    <row r="123" spans="1:29" s="1" customFormat="1" ht="13.5" customHeight="1">
      <c r="A123" s="31" t="s">
        <v>143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194</v>
      </c>
      <c r="P123" s="32"/>
      <c r="Q123" s="32"/>
      <c r="R123" s="33" t="s">
        <v>144</v>
      </c>
      <c r="S123" s="33"/>
      <c r="T123" s="34">
        <f>2510</f>
        <v>2510</v>
      </c>
      <c r="U123" s="34"/>
      <c r="V123" s="34"/>
      <c r="W123" s="34">
        <f>2510</f>
        <v>2510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133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195</v>
      </c>
      <c r="P124" s="32"/>
      <c r="Q124" s="32"/>
      <c r="R124" s="33" t="s">
        <v>134</v>
      </c>
      <c r="S124" s="33"/>
      <c r="T124" s="34">
        <f>237722.45</f>
        <v>237722.45</v>
      </c>
      <c r="U124" s="34"/>
      <c r="V124" s="34"/>
      <c r="W124" s="34">
        <f>186950.72</f>
        <v>186950.72</v>
      </c>
      <c r="X124" s="34"/>
      <c r="Y124" s="34"/>
      <c r="Z124" s="34"/>
      <c r="AA124" s="34"/>
      <c r="AB124" s="35">
        <f>50771.73</f>
        <v>50771.73</v>
      </c>
      <c r="AC124" s="35"/>
    </row>
    <row r="125" spans="1:29" s="1" customFormat="1" ht="13.5" customHeight="1">
      <c r="A125" s="31" t="s">
        <v>135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196</v>
      </c>
      <c r="P125" s="32"/>
      <c r="Q125" s="32"/>
      <c r="R125" s="33" t="s">
        <v>136</v>
      </c>
      <c r="S125" s="33"/>
      <c r="T125" s="34">
        <f>76971</f>
        <v>76971</v>
      </c>
      <c r="U125" s="34"/>
      <c r="V125" s="34"/>
      <c r="W125" s="34">
        <f>39277.64</f>
        <v>39277.64</v>
      </c>
      <c r="X125" s="34"/>
      <c r="Y125" s="34"/>
      <c r="Z125" s="34"/>
      <c r="AA125" s="34"/>
      <c r="AB125" s="35">
        <f>37693.36</f>
        <v>37693.36</v>
      </c>
      <c r="AC125" s="35"/>
    </row>
    <row r="126" spans="1:29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197</v>
      </c>
      <c r="P126" s="32"/>
      <c r="Q126" s="32"/>
      <c r="R126" s="33" t="s">
        <v>111</v>
      </c>
      <c r="S126" s="33"/>
      <c r="T126" s="34">
        <f>4770</f>
        <v>4770</v>
      </c>
      <c r="U126" s="34"/>
      <c r="V126" s="34"/>
      <c r="W126" s="34">
        <f>4770</f>
        <v>4770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135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198</v>
      </c>
      <c r="P127" s="32"/>
      <c r="Q127" s="32"/>
      <c r="R127" s="33" t="s">
        <v>136</v>
      </c>
      <c r="S127" s="33"/>
      <c r="T127" s="34">
        <f>20000</f>
        <v>20000</v>
      </c>
      <c r="U127" s="34"/>
      <c r="V127" s="34"/>
      <c r="W127" s="36" t="s">
        <v>53</v>
      </c>
      <c r="X127" s="36"/>
      <c r="Y127" s="36"/>
      <c r="Z127" s="36"/>
      <c r="AA127" s="36"/>
      <c r="AB127" s="35">
        <f>20000</f>
        <v>20000</v>
      </c>
      <c r="AC127" s="35"/>
    </row>
    <row r="128" spans="1:29" s="1" customFormat="1" ht="13.5" customHeight="1">
      <c r="A128" s="31" t="s">
        <v>110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198</v>
      </c>
      <c r="P128" s="32"/>
      <c r="Q128" s="32"/>
      <c r="R128" s="33" t="s">
        <v>111</v>
      </c>
      <c r="S128" s="33"/>
      <c r="T128" s="34">
        <f>66305.54</f>
        <v>66305.54</v>
      </c>
      <c r="U128" s="34"/>
      <c r="V128" s="34"/>
      <c r="W128" s="34">
        <f>45447</f>
        <v>45447</v>
      </c>
      <c r="X128" s="34"/>
      <c r="Y128" s="34"/>
      <c r="Z128" s="34"/>
      <c r="AA128" s="34"/>
      <c r="AB128" s="35">
        <f>20858.54</f>
        <v>20858.54</v>
      </c>
      <c r="AC128" s="35"/>
    </row>
    <row r="129" spans="1:29" s="1" customFormat="1" ht="13.5" customHeight="1">
      <c r="A129" s="31" t="s">
        <v>135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199</v>
      </c>
      <c r="P129" s="32"/>
      <c r="Q129" s="32"/>
      <c r="R129" s="33" t="s">
        <v>136</v>
      </c>
      <c r="S129" s="33"/>
      <c r="T129" s="34">
        <f>67723.43</f>
        <v>67723.43</v>
      </c>
      <c r="U129" s="34"/>
      <c r="V129" s="34"/>
      <c r="W129" s="36" t="s">
        <v>53</v>
      </c>
      <c r="X129" s="36"/>
      <c r="Y129" s="36"/>
      <c r="Z129" s="36"/>
      <c r="AA129" s="36"/>
      <c r="AB129" s="35">
        <f>67723.43</f>
        <v>67723.43</v>
      </c>
      <c r="AC129" s="35"/>
    </row>
    <row r="130" spans="1:29" s="1" customFormat="1" ht="13.5" customHeight="1">
      <c r="A130" s="31" t="s">
        <v>143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199</v>
      </c>
      <c r="P130" s="32"/>
      <c r="Q130" s="32"/>
      <c r="R130" s="33" t="s">
        <v>144</v>
      </c>
      <c r="S130" s="33"/>
      <c r="T130" s="34">
        <f>59860</f>
        <v>59860</v>
      </c>
      <c r="U130" s="34"/>
      <c r="V130" s="34"/>
      <c r="W130" s="34">
        <f>59860</f>
        <v>59860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200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201</v>
      </c>
      <c r="P131" s="32"/>
      <c r="Q131" s="32"/>
      <c r="R131" s="33" t="s">
        <v>202</v>
      </c>
      <c r="S131" s="33"/>
      <c r="T131" s="34">
        <f>221068</f>
        <v>221068</v>
      </c>
      <c r="U131" s="34"/>
      <c r="V131" s="34"/>
      <c r="W131" s="34">
        <f>221068</f>
        <v>221068</v>
      </c>
      <c r="X131" s="34"/>
      <c r="Y131" s="34"/>
      <c r="Z131" s="34"/>
      <c r="AA131" s="34"/>
      <c r="AB131" s="35">
        <f>0</f>
        <v>0</v>
      </c>
      <c r="AC131" s="35"/>
    </row>
    <row r="132" spans="1:29" s="1" customFormat="1" ht="13.5" customHeight="1">
      <c r="A132" s="31" t="s">
        <v>143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203</v>
      </c>
      <c r="P132" s="32"/>
      <c r="Q132" s="32"/>
      <c r="R132" s="33" t="s">
        <v>144</v>
      </c>
      <c r="S132" s="33"/>
      <c r="T132" s="34">
        <f>502065</f>
        <v>502065</v>
      </c>
      <c r="U132" s="34"/>
      <c r="V132" s="34"/>
      <c r="W132" s="34">
        <f>225206</f>
        <v>225206</v>
      </c>
      <c r="X132" s="34"/>
      <c r="Y132" s="34"/>
      <c r="Z132" s="34"/>
      <c r="AA132" s="34"/>
      <c r="AB132" s="35">
        <f>276859</f>
        <v>276859</v>
      </c>
      <c r="AC132" s="35"/>
    </row>
    <row r="133" spans="1:29" s="1" customFormat="1" ht="13.5" customHeight="1">
      <c r="A133" s="31" t="s">
        <v>141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204</v>
      </c>
      <c r="P133" s="32"/>
      <c r="Q133" s="32"/>
      <c r="R133" s="33" t="s">
        <v>142</v>
      </c>
      <c r="S133" s="33"/>
      <c r="T133" s="34">
        <f>4240</f>
        <v>4240</v>
      </c>
      <c r="U133" s="34"/>
      <c r="V133" s="34"/>
      <c r="W133" s="34">
        <f>4240</f>
        <v>4240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143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204</v>
      </c>
      <c r="P134" s="32"/>
      <c r="Q134" s="32"/>
      <c r="R134" s="33" t="s">
        <v>144</v>
      </c>
      <c r="S134" s="33"/>
      <c r="T134" s="34">
        <f>7840</f>
        <v>7840</v>
      </c>
      <c r="U134" s="34"/>
      <c r="V134" s="34"/>
      <c r="W134" s="34">
        <f>4545</f>
        <v>4545</v>
      </c>
      <c r="X134" s="34"/>
      <c r="Y134" s="34"/>
      <c r="Z134" s="34"/>
      <c r="AA134" s="34"/>
      <c r="AB134" s="35">
        <f>3295</f>
        <v>3295</v>
      </c>
      <c r="AC134" s="35"/>
    </row>
    <row r="135" spans="1:29" s="1" customFormat="1" ht="24" customHeight="1">
      <c r="A135" s="31" t="s">
        <v>205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204</v>
      </c>
      <c r="P135" s="32"/>
      <c r="Q135" s="32"/>
      <c r="R135" s="33" t="s">
        <v>206</v>
      </c>
      <c r="S135" s="33"/>
      <c r="T135" s="34">
        <f>60000</f>
        <v>60000</v>
      </c>
      <c r="U135" s="34"/>
      <c r="V135" s="34"/>
      <c r="W135" s="34">
        <f>60000</f>
        <v>60000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135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207</v>
      </c>
      <c r="P136" s="32"/>
      <c r="Q136" s="32"/>
      <c r="R136" s="33" t="s">
        <v>136</v>
      </c>
      <c r="S136" s="33"/>
      <c r="T136" s="34">
        <f>389160.21</f>
        <v>389160.21</v>
      </c>
      <c r="U136" s="34"/>
      <c r="V136" s="34"/>
      <c r="W136" s="36" t="s">
        <v>53</v>
      </c>
      <c r="X136" s="36"/>
      <c r="Y136" s="36"/>
      <c r="Z136" s="36"/>
      <c r="AA136" s="36"/>
      <c r="AB136" s="35">
        <f>389160.21</f>
        <v>389160.21</v>
      </c>
      <c r="AC136" s="35"/>
    </row>
    <row r="137" spans="1:29" s="1" customFormat="1" ht="13.5" customHeight="1">
      <c r="A137" s="31" t="s">
        <v>182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207</v>
      </c>
      <c r="P137" s="32"/>
      <c r="Q137" s="32"/>
      <c r="R137" s="33" t="s">
        <v>184</v>
      </c>
      <c r="S137" s="33"/>
      <c r="T137" s="34">
        <f>299337</f>
        <v>299337</v>
      </c>
      <c r="U137" s="34"/>
      <c r="V137" s="34"/>
      <c r="W137" s="34">
        <f>299337</f>
        <v>299337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207</v>
      </c>
      <c r="P138" s="32"/>
      <c r="Q138" s="32"/>
      <c r="R138" s="33" t="s">
        <v>140</v>
      </c>
      <c r="S138" s="33"/>
      <c r="T138" s="34">
        <f>20000</f>
        <v>20000</v>
      </c>
      <c r="U138" s="34"/>
      <c r="V138" s="34"/>
      <c r="W138" s="34">
        <f>20000</f>
        <v>20000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141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207</v>
      </c>
      <c r="P139" s="32"/>
      <c r="Q139" s="32"/>
      <c r="R139" s="33" t="s">
        <v>142</v>
      </c>
      <c r="S139" s="33"/>
      <c r="T139" s="34">
        <f>31027.5</f>
        <v>31027.5</v>
      </c>
      <c r="U139" s="34"/>
      <c r="V139" s="34"/>
      <c r="W139" s="34">
        <f>1424</f>
        <v>1424</v>
      </c>
      <c r="X139" s="34"/>
      <c r="Y139" s="34"/>
      <c r="Z139" s="34"/>
      <c r="AA139" s="34"/>
      <c r="AB139" s="35">
        <f>29603.5</f>
        <v>29603.5</v>
      </c>
      <c r="AC139" s="35"/>
    </row>
    <row r="140" spans="1:29" s="1" customFormat="1" ht="13.5" customHeight="1">
      <c r="A140" s="31" t="s">
        <v>143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207</v>
      </c>
      <c r="P140" s="32"/>
      <c r="Q140" s="32"/>
      <c r="R140" s="33" t="s">
        <v>144</v>
      </c>
      <c r="S140" s="33"/>
      <c r="T140" s="34">
        <f>55870</f>
        <v>55870</v>
      </c>
      <c r="U140" s="34"/>
      <c r="V140" s="34"/>
      <c r="W140" s="34">
        <f>45870</f>
        <v>45870</v>
      </c>
      <c r="X140" s="34"/>
      <c r="Y140" s="34"/>
      <c r="Z140" s="34"/>
      <c r="AA140" s="34"/>
      <c r="AB140" s="35">
        <f>10000</f>
        <v>10000</v>
      </c>
      <c r="AC140" s="35"/>
    </row>
    <row r="141" spans="1:29" s="1" customFormat="1" ht="13.5" customHeight="1">
      <c r="A141" s="31" t="s">
        <v>110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208</v>
      </c>
      <c r="P141" s="32"/>
      <c r="Q141" s="32"/>
      <c r="R141" s="33" t="s">
        <v>111</v>
      </c>
      <c r="S141" s="33"/>
      <c r="T141" s="34">
        <f>70000</f>
        <v>70000</v>
      </c>
      <c r="U141" s="34"/>
      <c r="V141" s="34"/>
      <c r="W141" s="36" t="s">
        <v>53</v>
      </c>
      <c r="X141" s="36"/>
      <c r="Y141" s="36"/>
      <c r="Z141" s="36"/>
      <c r="AA141" s="36"/>
      <c r="AB141" s="35">
        <f>70000</f>
        <v>70000</v>
      </c>
      <c r="AC141" s="35"/>
    </row>
    <row r="142" spans="1:29" s="1" customFormat="1" ht="13.5" customHeight="1">
      <c r="A142" s="31" t="s">
        <v>143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208</v>
      </c>
      <c r="P142" s="32"/>
      <c r="Q142" s="32"/>
      <c r="R142" s="33" t="s">
        <v>144</v>
      </c>
      <c r="S142" s="33"/>
      <c r="T142" s="34">
        <f>125000</f>
        <v>125000</v>
      </c>
      <c r="U142" s="34"/>
      <c r="V142" s="34"/>
      <c r="W142" s="36" t="s">
        <v>53</v>
      </c>
      <c r="X142" s="36"/>
      <c r="Y142" s="36"/>
      <c r="Z142" s="36"/>
      <c r="AA142" s="36"/>
      <c r="AB142" s="35">
        <f>125000</f>
        <v>125000</v>
      </c>
      <c r="AC142" s="35"/>
    </row>
    <row r="143" spans="1:29" s="1" customFormat="1" ht="13.5" customHeight="1">
      <c r="A143" s="31" t="s">
        <v>110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209</v>
      </c>
      <c r="P143" s="32"/>
      <c r="Q143" s="32"/>
      <c r="R143" s="33" t="s">
        <v>111</v>
      </c>
      <c r="S143" s="33"/>
      <c r="T143" s="34">
        <f>15000</f>
        <v>15000</v>
      </c>
      <c r="U143" s="34"/>
      <c r="V143" s="34"/>
      <c r="W143" s="34">
        <f>15000</f>
        <v>15000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182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209</v>
      </c>
      <c r="P144" s="32"/>
      <c r="Q144" s="32"/>
      <c r="R144" s="33" t="s">
        <v>184</v>
      </c>
      <c r="S144" s="33"/>
      <c r="T144" s="34">
        <f>14895.5</f>
        <v>14895.5</v>
      </c>
      <c r="U144" s="34"/>
      <c r="V144" s="34"/>
      <c r="W144" s="36" t="s">
        <v>53</v>
      </c>
      <c r="X144" s="36"/>
      <c r="Y144" s="36"/>
      <c r="Z144" s="36"/>
      <c r="AA144" s="36"/>
      <c r="AB144" s="35">
        <f>14895.5</f>
        <v>14895.5</v>
      </c>
      <c r="AC144" s="35"/>
    </row>
    <row r="145" spans="1:29" s="1" customFormat="1" ht="13.5" customHeight="1">
      <c r="A145" s="31" t="s">
        <v>141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209</v>
      </c>
      <c r="P145" s="32"/>
      <c r="Q145" s="32"/>
      <c r="R145" s="33" t="s">
        <v>142</v>
      </c>
      <c r="S145" s="33"/>
      <c r="T145" s="34">
        <f>37960.76</f>
        <v>37960.76</v>
      </c>
      <c r="U145" s="34"/>
      <c r="V145" s="34"/>
      <c r="W145" s="36" t="s">
        <v>53</v>
      </c>
      <c r="X145" s="36"/>
      <c r="Y145" s="36"/>
      <c r="Z145" s="36"/>
      <c r="AA145" s="36"/>
      <c r="AB145" s="35">
        <f>37960.76</f>
        <v>37960.76</v>
      </c>
      <c r="AC145" s="35"/>
    </row>
    <row r="146" spans="1:29" s="1" customFormat="1" ht="13.5" customHeight="1">
      <c r="A146" s="31" t="s">
        <v>115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210</v>
      </c>
      <c r="P146" s="32"/>
      <c r="Q146" s="32"/>
      <c r="R146" s="33" t="s">
        <v>117</v>
      </c>
      <c r="S146" s="33"/>
      <c r="T146" s="34">
        <f>375461</f>
        <v>375461</v>
      </c>
      <c r="U146" s="34"/>
      <c r="V146" s="34"/>
      <c r="W146" s="34">
        <f>281598</f>
        <v>281598</v>
      </c>
      <c r="X146" s="34"/>
      <c r="Y146" s="34"/>
      <c r="Z146" s="34"/>
      <c r="AA146" s="34"/>
      <c r="AB146" s="35">
        <f>93863</f>
        <v>93863</v>
      </c>
      <c r="AC146" s="35"/>
    </row>
    <row r="147" spans="1:29" s="1" customFormat="1" ht="13.5" customHeight="1">
      <c r="A147" s="31" t="s">
        <v>98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211</v>
      </c>
      <c r="P147" s="32"/>
      <c r="Q147" s="32"/>
      <c r="R147" s="33" t="s">
        <v>100</v>
      </c>
      <c r="S147" s="33"/>
      <c r="T147" s="34">
        <f>627074.5</f>
        <v>627074.5</v>
      </c>
      <c r="U147" s="34"/>
      <c r="V147" s="34"/>
      <c r="W147" s="34">
        <f>223084.22</f>
        <v>223084.22</v>
      </c>
      <c r="X147" s="34"/>
      <c r="Y147" s="34"/>
      <c r="Z147" s="34"/>
      <c r="AA147" s="34"/>
      <c r="AB147" s="35">
        <f>403990.28</f>
        <v>403990.28</v>
      </c>
      <c r="AC147" s="35"/>
    </row>
    <row r="148" spans="1:29" s="1" customFormat="1" ht="13.5" customHeight="1">
      <c r="A148" s="31" t="s">
        <v>101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212</v>
      </c>
      <c r="P148" s="32"/>
      <c r="Q148" s="32"/>
      <c r="R148" s="33" t="s">
        <v>103</v>
      </c>
      <c r="S148" s="33"/>
      <c r="T148" s="34">
        <f>256758.75</f>
        <v>256758.75</v>
      </c>
      <c r="U148" s="34"/>
      <c r="V148" s="34"/>
      <c r="W148" s="34">
        <f>67462.04</f>
        <v>67462.04</v>
      </c>
      <c r="X148" s="34"/>
      <c r="Y148" s="34"/>
      <c r="Z148" s="34"/>
      <c r="AA148" s="34"/>
      <c r="AB148" s="35">
        <f>189296.71</f>
        <v>189296.71</v>
      </c>
      <c r="AC148" s="35"/>
    </row>
    <row r="149" spans="1:29" s="1" customFormat="1" ht="13.5" customHeight="1">
      <c r="A149" s="31" t="s">
        <v>98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213</v>
      </c>
      <c r="P149" s="32"/>
      <c r="Q149" s="32"/>
      <c r="R149" s="33" t="s">
        <v>100</v>
      </c>
      <c r="S149" s="33"/>
      <c r="T149" s="34">
        <f>23758.48</f>
        <v>23758.48</v>
      </c>
      <c r="U149" s="34"/>
      <c r="V149" s="34"/>
      <c r="W149" s="34">
        <f>23758.48</f>
        <v>23758.48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101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214</v>
      </c>
      <c r="P150" s="32"/>
      <c r="Q150" s="32"/>
      <c r="R150" s="33" t="s">
        <v>103</v>
      </c>
      <c r="S150" s="33"/>
      <c r="T150" s="34">
        <f>7175.06</f>
        <v>7175.06</v>
      </c>
      <c r="U150" s="34"/>
      <c r="V150" s="34"/>
      <c r="W150" s="34">
        <f>4873.2</f>
        <v>4873.2</v>
      </c>
      <c r="X150" s="34"/>
      <c r="Y150" s="34"/>
      <c r="Z150" s="34"/>
      <c r="AA150" s="34"/>
      <c r="AB150" s="35">
        <f>2301.86</f>
        <v>2301.86</v>
      </c>
      <c r="AC150" s="35"/>
    </row>
    <row r="151" spans="1:29" s="1" customFormat="1" ht="13.5" customHeight="1">
      <c r="A151" s="31" t="s">
        <v>110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215</v>
      </c>
      <c r="P151" s="32"/>
      <c r="Q151" s="32"/>
      <c r="R151" s="33" t="s">
        <v>111</v>
      </c>
      <c r="S151" s="33"/>
      <c r="T151" s="34">
        <f>27939</f>
        <v>27939</v>
      </c>
      <c r="U151" s="34"/>
      <c r="V151" s="34"/>
      <c r="W151" s="34">
        <f>10623.9</f>
        <v>10623.9</v>
      </c>
      <c r="X151" s="34"/>
      <c r="Y151" s="34"/>
      <c r="Z151" s="34"/>
      <c r="AA151" s="34"/>
      <c r="AB151" s="35">
        <f>17315.1</f>
        <v>17315.1</v>
      </c>
      <c r="AC151" s="35"/>
    </row>
    <row r="152" spans="1:29" s="1" customFormat="1" ht="13.5" customHeight="1">
      <c r="A152" s="31" t="s">
        <v>110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216</v>
      </c>
      <c r="P152" s="32"/>
      <c r="Q152" s="32"/>
      <c r="R152" s="33" t="s">
        <v>111</v>
      </c>
      <c r="S152" s="33"/>
      <c r="T152" s="34">
        <f>35000</f>
        <v>35000</v>
      </c>
      <c r="U152" s="34"/>
      <c r="V152" s="34"/>
      <c r="W152" s="36" t="s">
        <v>53</v>
      </c>
      <c r="X152" s="36"/>
      <c r="Y152" s="36"/>
      <c r="Z152" s="36"/>
      <c r="AA152" s="36"/>
      <c r="AB152" s="35">
        <f>35000</f>
        <v>35000</v>
      </c>
      <c r="AC152" s="35"/>
    </row>
    <row r="153" spans="1:29" s="1" customFormat="1" ht="13.5" customHeight="1">
      <c r="A153" s="31" t="s">
        <v>182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216</v>
      </c>
      <c r="P153" s="32"/>
      <c r="Q153" s="32"/>
      <c r="R153" s="33" t="s">
        <v>184</v>
      </c>
      <c r="S153" s="33"/>
      <c r="T153" s="34">
        <f>282999</f>
        <v>282999</v>
      </c>
      <c r="U153" s="34"/>
      <c r="V153" s="34"/>
      <c r="W153" s="34">
        <f>282999</f>
        <v>282999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143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216</v>
      </c>
      <c r="P154" s="32"/>
      <c r="Q154" s="32"/>
      <c r="R154" s="33" t="s">
        <v>144</v>
      </c>
      <c r="S154" s="33"/>
      <c r="T154" s="34">
        <f>10400</f>
        <v>10400</v>
      </c>
      <c r="U154" s="34"/>
      <c r="V154" s="34"/>
      <c r="W154" s="34">
        <f>10400</f>
        <v>10400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182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217</v>
      </c>
      <c r="P155" s="32"/>
      <c r="Q155" s="32"/>
      <c r="R155" s="33" t="s">
        <v>184</v>
      </c>
      <c r="S155" s="33"/>
      <c r="T155" s="34">
        <f>280000</f>
        <v>280000</v>
      </c>
      <c r="U155" s="34"/>
      <c r="V155" s="34"/>
      <c r="W155" s="34">
        <f>280000</f>
        <v>280000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110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218</v>
      </c>
      <c r="P156" s="32"/>
      <c r="Q156" s="32"/>
      <c r="R156" s="33" t="s">
        <v>111</v>
      </c>
      <c r="S156" s="33"/>
      <c r="T156" s="34">
        <f>780000</f>
        <v>780000</v>
      </c>
      <c r="U156" s="34"/>
      <c r="V156" s="34"/>
      <c r="W156" s="34">
        <f>357641.52</f>
        <v>357641.52</v>
      </c>
      <c r="X156" s="34"/>
      <c r="Y156" s="34"/>
      <c r="Z156" s="34"/>
      <c r="AA156" s="34"/>
      <c r="AB156" s="35">
        <f>422358.48</f>
        <v>422358.48</v>
      </c>
      <c r="AC156" s="35"/>
    </row>
    <row r="157" spans="1:29" s="1" customFormat="1" ht="13.5" customHeight="1">
      <c r="A157" s="31" t="s">
        <v>98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219</v>
      </c>
      <c r="P157" s="32"/>
      <c r="Q157" s="32"/>
      <c r="R157" s="33" t="s">
        <v>100</v>
      </c>
      <c r="S157" s="33"/>
      <c r="T157" s="34">
        <f>4338968.92</f>
        <v>4338968.92</v>
      </c>
      <c r="U157" s="34"/>
      <c r="V157" s="34"/>
      <c r="W157" s="34">
        <f>2422969.04</f>
        <v>2422969.04</v>
      </c>
      <c r="X157" s="34"/>
      <c r="Y157" s="34"/>
      <c r="Z157" s="34"/>
      <c r="AA157" s="34"/>
      <c r="AB157" s="35">
        <f>1915999.88</f>
        <v>1915999.88</v>
      </c>
      <c r="AC157" s="35"/>
    </row>
    <row r="158" spans="1:29" s="1" customFormat="1" ht="13.5" customHeight="1">
      <c r="A158" s="31" t="s">
        <v>105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219</v>
      </c>
      <c r="P158" s="32"/>
      <c r="Q158" s="32"/>
      <c r="R158" s="33" t="s">
        <v>106</v>
      </c>
      <c r="S158" s="33"/>
      <c r="T158" s="34">
        <f>15000</f>
        <v>15000</v>
      </c>
      <c r="U158" s="34"/>
      <c r="V158" s="34"/>
      <c r="W158" s="34">
        <f>8134.23</f>
        <v>8134.23</v>
      </c>
      <c r="X158" s="34"/>
      <c r="Y158" s="34"/>
      <c r="Z158" s="34"/>
      <c r="AA158" s="34"/>
      <c r="AB158" s="35">
        <f>6865.77</f>
        <v>6865.77</v>
      </c>
      <c r="AC158" s="35"/>
    </row>
    <row r="159" spans="1:29" s="1" customFormat="1" ht="13.5" customHeight="1">
      <c r="A159" s="31" t="s">
        <v>159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220</v>
      </c>
      <c r="P159" s="32"/>
      <c r="Q159" s="32"/>
      <c r="R159" s="33" t="s">
        <v>161</v>
      </c>
      <c r="S159" s="33"/>
      <c r="T159" s="34">
        <f>4500</f>
        <v>4500</v>
      </c>
      <c r="U159" s="34"/>
      <c r="V159" s="34"/>
      <c r="W159" s="34">
        <f>4500</f>
        <v>4500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107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220</v>
      </c>
      <c r="P160" s="32"/>
      <c r="Q160" s="32"/>
      <c r="R160" s="33" t="s">
        <v>109</v>
      </c>
      <c r="S160" s="33"/>
      <c r="T160" s="34">
        <f>75256</f>
        <v>75256</v>
      </c>
      <c r="U160" s="34"/>
      <c r="V160" s="34"/>
      <c r="W160" s="34">
        <f>70256</f>
        <v>70256</v>
      </c>
      <c r="X160" s="34"/>
      <c r="Y160" s="34"/>
      <c r="Z160" s="34"/>
      <c r="AA160" s="34"/>
      <c r="AB160" s="35">
        <f>5000</f>
        <v>5000</v>
      </c>
      <c r="AC160" s="35"/>
    </row>
    <row r="161" spans="1:29" s="1" customFormat="1" ht="13.5" customHeight="1">
      <c r="A161" s="31" t="s">
        <v>101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221</v>
      </c>
      <c r="P161" s="32"/>
      <c r="Q161" s="32"/>
      <c r="R161" s="33" t="s">
        <v>103</v>
      </c>
      <c r="S161" s="33"/>
      <c r="T161" s="34">
        <f>1293068.61</f>
        <v>1293068.61</v>
      </c>
      <c r="U161" s="34"/>
      <c r="V161" s="34"/>
      <c r="W161" s="34">
        <f>551990.83</f>
        <v>551990.83</v>
      </c>
      <c r="X161" s="34"/>
      <c r="Y161" s="34"/>
      <c r="Z161" s="34"/>
      <c r="AA161" s="34"/>
      <c r="AB161" s="35">
        <f>741077.78</f>
        <v>741077.78</v>
      </c>
      <c r="AC161" s="35"/>
    </row>
    <row r="162" spans="1:29" s="1" customFormat="1" ht="13.5" customHeight="1">
      <c r="A162" s="31" t="s">
        <v>130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222</v>
      </c>
      <c r="P162" s="32"/>
      <c r="Q162" s="32"/>
      <c r="R162" s="33" t="s">
        <v>132</v>
      </c>
      <c r="S162" s="33"/>
      <c r="T162" s="34">
        <f>60000</f>
        <v>60000</v>
      </c>
      <c r="U162" s="34"/>
      <c r="V162" s="34"/>
      <c r="W162" s="34">
        <f>35390.26</f>
        <v>35390.26</v>
      </c>
      <c r="X162" s="34"/>
      <c r="Y162" s="34"/>
      <c r="Z162" s="34"/>
      <c r="AA162" s="34"/>
      <c r="AB162" s="35">
        <f>24609.74</f>
        <v>24609.74</v>
      </c>
      <c r="AC162" s="35"/>
    </row>
    <row r="163" spans="1:29" s="1" customFormat="1" ht="13.5" customHeight="1">
      <c r="A163" s="31" t="s">
        <v>200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222</v>
      </c>
      <c r="P163" s="32"/>
      <c r="Q163" s="32"/>
      <c r="R163" s="33" t="s">
        <v>202</v>
      </c>
      <c r="S163" s="33"/>
      <c r="T163" s="34">
        <f>70000</f>
        <v>70000</v>
      </c>
      <c r="U163" s="34"/>
      <c r="V163" s="34"/>
      <c r="W163" s="34">
        <f>70000</f>
        <v>70000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13.5" customHeight="1">
      <c r="A164" s="31" t="s">
        <v>133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222</v>
      </c>
      <c r="P164" s="32"/>
      <c r="Q164" s="32"/>
      <c r="R164" s="33" t="s">
        <v>134</v>
      </c>
      <c r="S164" s="33"/>
      <c r="T164" s="34">
        <f>150580.98</f>
        <v>150580.98</v>
      </c>
      <c r="U164" s="34"/>
      <c r="V164" s="34"/>
      <c r="W164" s="34">
        <f>14479.02</f>
        <v>14479.02</v>
      </c>
      <c r="X164" s="34"/>
      <c r="Y164" s="34"/>
      <c r="Z164" s="34"/>
      <c r="AA164" s="34"/>
      <c r="AB164" s="35">
        <f>136101.96</f>
        <v>136101.96</v>
      </c>
      <c r="AC164" s="35"/>
    </row>
    <row r="165" spans="1:29" s="1" customFormat="1" ht="13.5" customHeight="1">
      <c r="A165" s="31" t="s">
        <v>110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222</v>
      </c>
      <c r="P165" s="32"/>
      <c r="Q165" s="32"/>
      <c r="R165" s="33" t="s">
        <v>111</v>
      </c>
      <c r="S165" s="33"/>
      <c r="T165" s="34">
        <f>69128</f>
        <v>69128</v>
      </c>
      <c r="U165" s="34"/>
      <c r="V165" s="34"/>
      <c r="W165" s="34">
        <f>25780</f>
        <v>25780</v>
      </c>
      <c r="X165" s="34"/>
      <c r="Y165" s="34"/>
      <c r="Z165" s="34"/>
      <c r="AA165" s="34"/>
      <c r="AB165" s="35">
        <f>43348</f>
        <v>43348</v>
      </c>
      <c r="AC165" s="35"/>
    </row>
    <row r="166" spans="1:29" s="1" customFormat="1" ht="13.5" customHeight="1">
      <c r="A166" s="31" t="s">
        <v>182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222</v>
      </c>
      <c r="P166" s="32"/>
      <c r="Q166" s="32"/>
      <c r="R166" s="33" t="s">
        <v>184</v>
      </c>
      <c r="S166" s="33"/>
      <c r="T166" s="34">
        <f>212005.01</f>
        <v>212005.01</v>
      </c>
      <c r="U166" s="34"/>
      <c r="V166" s="34"/>
      <c r="W166" s="34">
        <f>212005.01</f>
        <v>212005.01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24" customHeight="1">
      <c r="A167" s="31" t="s">
        <v>137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222</v>
      </c>
      <c r="P167" s="32"/>
      <c r="Q167" s="32"/>
      <c r="R167" s="33" t="s">
        <v>138</v>
      </c>
      <c r="S167" s="33"/>
      <c r="T167" s="34">
        <f>2300</f>
        <v>2300</v>
      </c>
      <c r="U167" s="34"/>
      <c r="V167" s="34"/>
      <c r="W167" s="34">
        <f>2300</f>
        <v>2300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143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222</v>
      </c>
      <c r="P168" s="32"/>
      <c r="Q168" s="32"/>
      <c r="R168" s="33" t="s">
        <v>144</v>
      </c>
      <c r="S168" s="33"/>
      <c r="T168" s="34">
        <f>146571.24</f>
        <v>146571.24</v>
      </c>
      <c r="U168" s="34"/>
      <c r="V168" s="34"/>
      <c r="W168" s="34">
        <f>137669.75</f>
        <v>137669.75</v>
      </c>
      <c r="X168" s="34"/>
      <c r="Y168" s="34"/>
      <c r="Z168" s="34"/>
      <c r="AA168" s="34"/>
      <c r="AB168" s="35">
        <f>8901.49</f>
        <v>8901.49</v>
      </c>
      <c r="AC168" s="35"/>
    </row>
    <row r="169" spans="1:29" s="1" customFormat="1" ht="13.5" customHeight="1">
      <c r="A169" s="31" t="s">
        <v>133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223</v>
      </c>
      <c r="P169" s="32"/>
      <c r="Q169" s="32"/>
      <c r="R169" s="33" t="s">
        <v>134</v>
      </c>
      <c r="S169" s="33"/>
      <c r="T169" s="34">
        <f>774662.85</f>
        <v>774662.85</v>
      </c>
      <c r="U169" s="34"/>
      <c r="V169" s="34"/>
      <c r="W169" s="34">
        <f>448935.48</f>
        <v>448935.48</v>
      </c>
      <c r="X169" s="34"/>
      <c r="Y169" s="34"/>
      <c r="Z169" s="34"/>
      <c r="AA169" s="34"/>
      <c r="AB169" s="35">
        <f>325727.37</f>
        <v>325727.37</v>
      </c>
      <c r="AC169" s="35"/>
    </row>
    <row r="170" spans="1:29" s="1" customFormat="1" ht="13.5" customHeight="1">
      <c r="A170" s="31" t="s">
        <v>98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224</v>
      </c>
      <c r="P170" s="32"/>
      <c r="Q170" s="32"/>
      <c r="R170" s="33" t="s">
        <v>100</v>
      </c>
      <c r="S170" s="33"/>
      <c r="T170" s="34">
        <f>2398907.35</f>
        <v>2398907.35</v>
      </c>
      <c r="U170" s="34"/>
      <c r="V170" s="34"/>
      <c r="W170" s="34">
        <f>1339667.8</f>
        <v>1339667.8</v>
      </c>
      <c r="X170" s="34"/>
      <c r="Y170" s="34"/>
      <c r="Z170" s="34"/>
      <c r="AA170" s="34"/>
      <c r="AB170" s="35">
        <f>1059239.55</f>
        <v>1059239.55</v>
      </c>
      <c r="AC170" s="35"/>
    </row>
    <row r="171" spans="1:29" s="1" customFormat="1" ht="13.5" customHeight="1">
      <c r="A171" s="31" t="s">
        <v>101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225</v>
      </c>
      <c r="P171" s="32"/>
      <c r="Q171" s="32"/>
      <c r="R171" s="33" t="s">
        <v>103</v>
      </c>
      <c r="S171" s="33"/>
      <c r="T171" s="34">
        <f>724470.02</f>
        <v>724470.02</v>
      </c>
      <c r="U171" s="34"/>
      <c r="V171" s="34"/>
      <c r="W171" s="34">
        <f>403033.71</f>
        <v>403033.71</v>
      </c>
      <c r="X171" s="34"/>
      <c r="Y171" s="34"/>
      <c r="Z171" s="34"/>
      <c r="AA171" s="34"/>
      <c r="AB171" s="35">
        <f>321436.31</f>
        <v>321436.31</v>
      </c>
      <c r="AC171" s="35"/>
    </row>
    <row r="172" spans="1:29" s="1" customFormat="1" ht="13.5" customHeight="1">
      <c r="A172" s="31" t="s">
        <v>110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226</v>
      </c>
      <c r="P172" s="32"/>
      <c r="Q172" s="32"/>
      <c r="R172" s="33" t="s">
        <v>111</v>
      </c>
      <c r="S172" s="33"/>
      <c r="T172" s="34">
        <f>990</f>
        <v>990</v>
      </c>
      <c r="U172" s="34"/>
      <c r="V172" s="34"/>
      <c r="W172" s="34">
        <f>990</f>
        <v>990</v>
      </c>
      <c r="X172" s="34"/>
      <c r="Y172" s="34"/>
      <c r="Z172" s="34"/>
      <c r="AA172" s="34"/>
      <c r="AB172" s="35">
        <f>0</f>
        <v>0</v>
      </c>
      <c r="AC172" s="35"/>
    </row>
    <row r="173" spans="1:29" s="1" customFormat="1" ht="24" customHeight="1">
      <c r="A173" s="31" t="s">
        <v>205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226</v>
      </c>
      <c r="P173" s="32"/>
      <c r="Q173" s="32"/>
      <c r="R173" s="33" t="s">
        <v>206</v>
      </c>
      <c r="S173" s="33"/>
      <c r="T173" s="34">
        <f>20000</f>
        <v>20000</v>
      </c>
      <c r="U173" s="34"/>
      <c r="V173" s="34"/>
      <c r="W173" s="34">
        <f>20000</f>
        <v>20000</v>
      </c>
      <c r="X173" s="34"/>
      <c r="Y173" s="34"/>
      <c r="Z173" s="34"/>
      <c r="AA173" s="34"/>
      <c r="AB173" s="35">
        <f>0</f>
        <v>0</v>
      </c>
      <c r="AC173" s="35"/>
    </row>
    <row r="174" spans="1:29" s="1" customFormat="1" ht="24" customHeight="1">
      <c r="A174" s="31" t="s">
        <v>124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226</v>
      </c>
      <c r="P174" s="32"/>
      <c r="Q174" s="32"/>
      <c r="R174" s="33" t="s">
        <v>126</v>
      </c>
      <c r="S174" s="33"/>
      <c r="T174" s="34">
        <f>62788</f>
        <v>62788</v>
      </c>
      <c r="U174" s="34"/>
      <c r="V174" s="34"/>
      <c r="W174" s="34">
        <f>54099.93</f>
        <v>54099.93</v>
      </c>
      <c r="X174" s="34"/>
      <c r="Y174" s="34"/>
      <c r="Z174" s="34"/>
      <c r="AA174" s="34"/>
      <c r="AB174" s="35">
        <f>8688.07</f>
        <v>8688.07</v>
      </c>
      <c r="AC174" s="35"/>
    </row>
    <row r="175" spans="1:29" s="1" customFormat="1" ht="24" customHeight="1">
      <c r="A175" s="31" t="s">
        <v>227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228</v>
      </c>
      <c r="P175" s="32"/>
      <c r="Q175" s="32"/>
      <c r="R175" s="33" t="s">
        <v>229</v>
      </c>
      <c r="S175" s="33"/>
      <c r="T175" s="34">
        <f>620690</f>
        <v>620690</v>
      </c>
      <c r="U175" s="34"/>
      <c r="V175" s="34"/>
      <c r="W175" s="34">
        <f>362033</f>
        <v>362033</v>
      </c>
      <c r="X175" s="34"/>
      <c r="Y175" s="34"/>
      <c r="Z175" s="34"/>
      <c r="AA175" s="34"/>
      <c r="AB175" s="35">
        <f>258657</f>
        <v>258657</v>
      </c>
      <c r="AC175" s="35"/>
    </row>
    <row r="176" spans="1:29" s="1" customFormat="1" ht="24" customHeight="1">
      <c r="A176" s="31" t="s">
        <v>124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230</v>
      </c>
      <c r="P176" s="32"/>
      <c r="Q176" s="32"/>
      <c r="R176" s="33" t="s">
        <v>126</v>
      </c>
      <c r="S176" s="33"/>
      <c r="T176" s="34">
        <f>30000</f>
        <v>30000</v>
      </c>
      <c r="U176" s="34"/>
      <c r="V176" s="34"/>
      <c r="W176" s="34">
        <f>6000</f>
        <v>6000</v>
      </c>
      <c r="X176" s="34"/>
      <c r="Y176" s="34"/>
      <c r="Z176" s="34"/>
      <c r="AA176" s="34"/>
      <c r="AB176" s="35">
        <f>24000</f>
        <v>24000</v>
      </c>
      <c r="AC176" s="35"/>
    </row>
    <row r="177" spans="1:29" s="1" customFormat="1" ht="15" customHeight="1">
      <c r="A177" s="37" t="s">
        <v>231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8" t="s">
        <v>232</v>
      </c>
      <c r="M177" s="38"/>
      <c r="N177" s="38"/>
      <c r="O177" s="38" t="s">
        <v>36</v>
      </c>
      <c r="P177" s="38"/>
      <c r="Q177" s="38"/>
      <c r="R177" s="39" t="s">
        <v>36</v>
      </c>
      <c r="S177" s="39"/>
      <c r="T177" s="40">
        <f>-2718102.36</f>
        <v>-2718102.36</v>
      </c>
      <c r="U177" s="40"/>
      <c r="V177" s="40"/>
      <c r="W177" s="40">
        <f>204063.59</f>
        <v>204063.59</v>
      </c>
      <c r="X177" s="40"/>
      <c r="Y177" s="40"/>
      <c r="Z177" s="40"/>
      <c r="AA177" s="40"/>
      <c r="AB177" s="41" t="s">
        <v>36</v>
      </c>
      <c r="AC177" s="41"/>
    </row>
    <row r="178" spans="1:29" s="1" customFormat="1" ht="13.5" customHeight="1">
      <c r="A178" s="7" t="s">
        <v>10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s="1" customFormat="1" ht="13.5" customHeight="1">
      <c r="A179" s="12" t="s">
        <v>233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s="1" customFormat="1" ht="45.75" customHeight="1">
      <c r="A180" s="13" t="s">
        <v>22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 t="s">
        <v>23</v>
      </c>
      <c r="N180" s="13"/>
      <c r="O180" s="13"/>
      <c r="P180" s="13" t="s">
        <v>234</v>
      </c>
      <c r="Q180" s="13"/>
      <c r="R180" s="13"/>
      <c r="S180" s="14" t="s">
        <v>25</v>
      </c>
      <c r="T180" s="14"/>
      <c r="U180" s="14"/>
      <c r="V180" s="14" t="s">
        <v>26</v>
      </c>
      <c r="W180" s="14"/>
      <c r="X180" s="14"/>
      <c r="Y180" s="14"/>
      <c r="Z180" s="14"/>
      <c r="AA180" s="15" t="s">
        <v>27</v>
      </c>
      <c r="AB180" s="15"/>
      <c r="AC180" s="15"/>
    </row>
    <row r="181" spans="1:29" s="1" customFormat="1" ht="12.75" customHeight="1">
      <c r="A181" s="16" t="s">
        <v>28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 t="s">
        <v>29</v>
      </c>
      <c r="N181" s="16"/>
      <c r="O181" s="16"/>
      <c r="P181" s="16" t="s">
        <v>30</v>
      </c>
      <c r="Q181" s="16"/>
      <c r="R181" s="16"/>
      <c r="S181" s="17" t="s">
        <v>31</v>
      </c>
      <c r="T181" s="17"/>
      <c r="U181" s="17"/>
      <c r="V181" s="17" t="s">
        <v>32</v>
      </c>
      <c r="W181" s="17"/>
      <c r="X181" s="17"/>
      <c r="Y181" s="17"/>
      <c r="Z181" s="17"/>
      <c r="AA181" s="18" t="s">
        <v>33</v>
      </c>
      <c r="AB181" s="18"/>
      <c r="AC181" s="18"/>
    </row>
    <row r="182" spans="1:29" s="1" customFormat="1" ht="13.5" customHeight="1">
      <c r="A182" s="19" t="s">
        <v>235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 t="s">
        <v>236</v>
      </c>
      <c r="N182" s="20"/>
      <c r="O182" s="20"/>
      <c r="P182" s="20" t="s">
        <v>36</v>
      </c>
      <c r="Q182" s="20"/>
      <c r="R182" s="20"/>
      <c r="S182" s="42">
        <f>2718102.36</f>
        <v>2718102.36</v>
      </c>
      <c r="T182" s="42"/>
      <c r="U182" s="42"/>
      <c r="V182" s="21">
        <f>-204063.59</f>
        <v>-204063.59</v>
      </c>
      <c r="W182" s="21"/>
      <c r="X182" s="21"/>
      <c r="Y182" s="21"/>
      <c r="Z182" s="21"/>
      <c r="AA182" s="43" t="s">
        <v>36</v>
      </c>
      <c r="AB182" s="43"/>
      <c r="AC182" s="43"/>
    </row>
    <row r="183" spans="1:29" s="1" customFormat="1" ht="13.5" customHeight="1">
      <c r="A183" s="44" t="s">
        <v>237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5" t="s">
        <v>10</v>
      </c>
      <c r="N183" s="45"/>
      <c r="O183" s="45"/>
      <c r="P183" s="45" t="s">
        <v>10</v>
      </c>
      <c r="Q183" s="45"/>
      <c r="R183" s="45"/>
      <c r="S183" s="46" t="s">
        <v>10</v>
      </c>
      <c r="T183" s="46"/>
      <c r="U183" s="46"/>
      <c r="V183" s="47" t="s">
        <v>10</v>
      </c>
      <c r="W183" s="47"/>
      <c r="X183" s="47"/>
      <c r="Y183" s="47"/>
      <c r="Z183" s="47"/>
      <c r="AA183" s="48" t="s">
        <v>10</v>
      </c>
      <c r="AB183" s="48"/>
      <c r="AC183" s="48"/>
    </row>
    <row r="184" spans="1:29" s="1" customFormat="1" ht="13.5" customHeight="1">
      <c r="A184" s="23" t="s">
        <v>238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49" t="s">
        <v>239</v>
      </c>
      <c r="N184" s="49"/>
      <c r="O184" s="49"/>
      <c r="P184" s="24" t="s">
        <v>36</v>
      </c>
      <c r="Q184" s="24"/>
      <c r="R184" s="24"/>
      <c r="S184" s="50" t="s">
        <v>53</v>
      </c>
      <c r="T184" s="50"/>
      <c r="U184" s="50"/>
      <c r="V184" s="27" t="s">
        <v>53</v>
      </c>
      <c r="W184" s="27"/>
      <c r="X184" s="27"/>
      <c r="Y184" s="27"/>
      <c r="Z184" s="27"/>
      <c r="AA184" s="51" t="s">
        <v>53</v>
      </c>
      <c r="AB184" s="51"/>
      <c r="AC184" s="51"/>
    </row>
    <row r="185" spans="1:29" s="1" customFormat="1" ht="13.5" customHeight="1">
      <c r="A185" s="33" t="s">
        <v>10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 spans="1:29" s="1" customFormat="1" ht="13.5" customHeight="1">
      <c r="A186" s="31" t="s">
        <v>240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45" t="s">
        <v>241</v>
      </c>
      <c r="N186" s="45"/>
      <c r="O186" s="45"/>
      <c r="P186" s="45" t="s">
        <v>36</v>
      </c>
      <c r="Q186" s="45"/>
      <c r="R186" s="45"/>
      <c r="S186" s="46" t="s">
        <v>53</v>
      </c>
      <c r="T186" s="46"/>
      <c r="U186" s="46"/>
      <c r="V186" s="36" t="s">
        <v>53</v>
      </c>
      <c r="W186" s="36"/>
      <c r="X186" s="36"/>
      <c r="Y186" s="36"/>
      <c r="Z186" s="36"/>
      <c r="AA186" s="48" t="s">
        <v>53</v>
      </c>
      <c r="AB186" s="48"/>
      <c r="AC186" s="48"/>
    </row>
    <row r="187" spans="1:29" s="1" customFormat="1" ht="13.5" customHeight="1">
      <c r="A187" s="31" t="s">
        <v>10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2" t="s">
        <v>241</v>
      </c>
      <c r="N187" s="32"/>
      <c r="O187" s="32"/>
      <c r="P187" s="32" t="s">
        <v>10</v>
      </c>
      <c r="Q187" s="32"/>
      <c r="R187" s="32"/>
      <c r="S187" s="52" t="s">
        <v>53</v>
      </c>
      <c r="T187" s="52"/>
      <c r="U187" s="52"/>
      <c r="V187" s="36" t="s">
        <v>53</v>
      </c>
      <c r="W187" s="36"/>
      <c r="X187" s="36"/>
      <c r="Y187" s="36"/>
      <c r="Z187" s="36"/>
      <c r="AA187" s="53" t="s">
        <v>53</v>
      </c>
      <c r="AB187" s="53"/>
      <c r="AC187" s="53"/>
    </row>
    <row r="188" spans="1:29" s="1" customFormat="1" ht="13.5" customHeight="1">
      <c r="A188" s="31" t="s">
        <v>242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2" t="s">
        <v>243</v>
      </c>
      <c r="N188" s="32"/>
      <c r="O188" s="32"/>
      <c r="P188" s="32" t="s">
        <v>244</v>
      </c>
      <c r="Q188" s="32"/>
      <c r="R188" s="32"/>
      <c r="S188" s="54">
        <f>2718102.36</f>
        <v>2718102.36</v>
      </c>
      <c r="T188" s="54"/>
      <c r="U188" s="54"/>
      <c r="V188" s="34">
        <f>-204063.59</f>
        <v>-204063.59</v>
      </c>
      <c r="W188" s="34"/>
      <c r="X188" s="34"/>
      <c r="Y188" s="34"/>
      <c r="Z188" s="34"/>
      <c r="AA188" s="55">
        <f>2922165.95</f>
        <v>2922165.95</v>
      </c>
      <c r="AB188" s="55"/>
      <c r="AC188" s="55"/>
    </row>
    <row r="189" spans="1:29" s="1" customFormat="1" ht="13.5" customHeight="1">
      <c r="A189" s="31" t="s">
        <v>245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2" t="s">
        <v>246</v>
      </c>
      <c r="N189" s="32"/>
      <c r="O189" s="32"/>
      <c r="P189" s="32" t="s">
        <v>247</v>
      </c>
      <c r="Q189" s="32"/>
      <c r="R189" s="32"/>
      <c r="S189" s="54">
        <f>-50677063.62</f>
        <v>-50677063.62</v>
      </c>
      <c r="T189" s="54"/>
      <c r="U189" s="54"/>
      <c r="V189" s="34">
        <f>-27155313.76</f>
        <v>-27155313.76</v>
      </c>
      <c r="W189" s="34"/>
      <c r="X189" s="34"/>
      <c r="Y189" s="34"/>
      <c r="Z189" s="34"/>
      <c r="AA189" s="56" t="s">
        <v>36</v>
      </c>
      <c r="AB189" s="56"/>
      <c r="AC189" s="56"/>
    </row>
    <row r="190" spans="1:29" s="1" customFormat="1" ht="13.5" customHeight="1">
      <c r="A190" s="31" t="s">
        <v>248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2" t="s">
        <v>249</v>
      </c>
      <c r="N190" s="32"/>
      <c r="O190" s="32"/>
      <c r="P190" s="32" t="s">
        <v>250</v>
      </c>
      <c r="Q190" s="32"/>
      <c r="R190" s="32"/>
      <c r="S190" s="54">
        <f>53395165.98</f>
        <v>53395165.98</v>
      </c>
      <c r="T190" s="54"/>
      <c r="U190" s="54"/>
      <c r="V190" s="34">
        <f>26951250.17</f>
        <v>26951250.17</v>
      </c>
      <c r="W190" s="34"/>
      <c r="X190" s="34"/>
      <c r="Y190" s="34"/>
      <c r="Z190" s="34"/>
      <c r="AA190" s="56" t="s">
        <v>36</v>
      </c>
      <c r="AB190" s="56"/>
      <c r="AC190" s="56"/>
    </row>
    <row r="191" spans="1:29" s="1" customFormat="1" ht="13.5" customHeight="1">
      <c r="A191" s="58" t="s">
        <v>10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:29" s="1" customFormat="1" ht="13.5" customHeight="1">
      <c r="A192" s="7" t="s">
        <v>251</v>
      </c>
      <c r="B192" s="7"/>
      <c r="C192" s="7"/>
      <c r="D192" s="7"/>
      <c r="E192" s="7"/>
      <c r="F192" s="7"/>
      <c r="G192" s="7"/>
      <c r="H192" s="7"/>
      <c r="I192" s="57" t="s">
        <v>10</v>
      </c>
      <c r="J192" s="57"/>
      <c r="K192" s="57"/>
      <c r="L192" s="57"/>
      <c r="M192" s="57"/>
      <c r="N192" s="57"/>
      <c r="O192" s="57"/>
      <c r="P192" s="57" t="s">
        <v>252</v>
      </c>
      <c r="Q192" s="57"/>
      <c r="R192" s="57"/>
      <c r="S192" s="57"/>
      <c r="T192" s="57"/>
      <c r="U192" s="7" t="s">
        <v>10</v>
      </c>
      <c r="V192" s="7"/>
      <c r="W192" s="7"/>
      <c r="X192" s="7"/>
      <c r="Y192" s="7"/>
      <c r="Z192" s="7"/>
      <c r="AA192" s="7"/>
      <c r="AB192" s="7"/>
      <c r="AC192" s="7"/>
    </row>
    <row r="193" spans="1:29" s="1" customFormat="1" ht="13.5" customHeight="1">
      <c r="A193" s="7" t="s">
        <v>10</v>
      </c>
      <c r="B193" s="7"/>
      <c r="C193" s="7"/>
      <c r="D193" s="7"/>
      <c r="E193" s="7"/>
      <c r="F193" s="7"/>
      <c r="G193" s="7"/>
      <c r="H193" s="7"/>
      <c r="I193" s="10" t="s">
        <v>10</v>
      </c>
      <c r="J193" s="59" t="s">
        <v>253</v>
      </c>
      <c r="K193" s="59"/>
      <c r="L193" s="59"/>
      <c r="M193" s="59"/>
      <c r="N193" s="7" t="s">
        <v>10</v>
      </c>
      <c r="O193" s="7"/>
      <c r="P193" s="10" t="s">
        <v>10</v>
      </c>
      <c r="Q193" s="59" t="s">
        <v>254</v>
      </c>
      <c r="R193" s="59"/>
      <c r="S193" s="59"/>
      <c r="T193" s="7" t="s">
        <v>10</v>
      </c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s="1" customFormat="1" ht="7.5" customHeight="1">
      <c r="A194" s="7" t="s">
        <v>10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s="1" customFormat="1" ht="13.5" customHeight="1">
      <c r="A195" s="7" t="s">
        <v>255</v>
      </c>
      <c r="B195" s="7"/>
      <c r="C195" s="7"/>
      <c r="D195" s="7"/>
      <c r="E195" s="7"/>
      <c r="F195" s="7"/>
      <c r="G195" s="7"/>
      <c r="H195" s="7"/>
      <c r="I195" s="57" t="s">
        <v>10</v>
      </c>
      <c r="J195" s="57"/>
      <c r="K195" s="57"/>
      <c r="L195" s="57"/>
      <c r="M195" s="57"/>
      <c r="N195" s="57"/>
      <c r="O195" s="57"/>
      <c r="P195" s="57" t="s">
        <v>256</v>
      </c>
      <c r="Q195" s="57"/>
      <c r="R195" s="57"/>
      <c r="S195" s="57"/>
      <c r="T195" s="57"/>
      <c r="U195" s="7" t="s">
        <v>10</v>
      </c>
      <c r="V195" s="7"/>
      <c r="W195" s="7"/>
      <c r="X195" s="7"/>
      <c r="Y195" s="7"/>
      <c r="Z195" s="7"/>
      <c r="AA195" s="7"/>
      <c r="AB195" s="7"/>
      <c r="AC195" s="7"/>
    </row>
    <row r="196" spans="1:29" s="1" customFormat="1" ht="13.5" customHeight="1">
      <c r="A196" s="7" t="s">
        <v>10</v>
      </c>
      <c r="B196" s="7"/>
      <c r="C196" s="7"/>
      <c r="D196" s="7"/>
      <c r="E196" s="7"/>
      <c r="F196" s="7"/>
      <c r="G196" s="7"/>
      <c r="H196" s="7"/>
      <c r="I196" s="10" t="s">
        <v>10</v>
      </c>
      <c r="J196" s="59" t="s">
        <v>253</v>
      </c>
      <c r="K196" s="59"/>
      <c r="L196" s="59"/>
      <c r="M196" s="59"/>
      <c r="N196" s="7" t="s">
        <v>10</v>
      </c>
      <c r="O196" s="7"/>
      <c r="P196" s="10" t="s">
        <v>10</v>
      </c>
      <c r="Q196" s="59" t="s">
        <v>254</v>
      </c>
      <c r="R196" s="59"/>
      <c r="S196" s="59"/>
      <c r="T196" s="7" t="s">
        <v>10</v>
      </c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7.5" customHeight="1">
      <c r="A197" s="7" t="s">
        <v>10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s="1" customFormat="1" ht="13.5" customHeight="1">
      <c r="A198" s="7" t="s">
        <v>257</v>
      </c>
      <c r="B198" s="7"/>
      <c r="C198" s="57" t="s">
        <v>255</v>
      </c>
      <c r="D198" s="57"/>
      <c r="E198" s="57"/>
      <c r="F198" s="57"/>
      <c r="G198" s="57"/>
      <c r="H198" s="57"/>
      <c r="I198" s="57" t="s">
        <v>10</v>
      </c>
      <c r="J198" s="57"/>
      <c r="K198" s="57"/>
      <c r="L198" s="57"/>
      <c r="M198" s="57"/>
      <c r="N198" s="57"/>
      <c r="O198" s="57"/>
      <c r="P198" s="57" t="s">
        <v>256</v>
      </c>
      <c r="Q198" s="57"/>
      <c r="R198" s="57"/>
      <c r="S198" s="57"/>
      <c r="T198" s="57"/>
      <c r="U198" s="7" t="s">
        <v>10</v>
      </c>
      <c r="V198" s="7"/>
      <c r="W198" s="7"/>
      <c r="X198" s="7"/>
      <c r="Y198" s="7"/>
      <c r="Z198" s="7"/>
      <c r="AA198" s="7"/>
      <c r="AB198" s="7"/>
      <c r="AC198" s="7"/>
    </row>
    <row r="199" spans="1:29" s="1" customFormat="1" ht="13.5" customHeight="1">
      <c r="A199" s="7" t="s">
        <v>10</v>
      </c>
      <c r="B199" s="7"/>
      <c r="C199" s="10" t="s">
        <v>10</v>
      </c>
      <c r="D199" s="59" t="s">
        <v>258</v>
      </c>
      <c r="E199" s="59"/>
      <c r="F199" s="59"/>
      <c r="G199" s="59"/>
      <c r="H199" s="10" t="s">
        <v>10</v>
      </c>
      <c r="I199" s="10" t="s">
        <v>10</v>
      </c>
      <c r="J199" s="59" t="s">
        <v>253</v>
      </c>
      <c r="K199" s="59"/>
      <c r="L199" s="59"/>
      <c r="M199" s="59"/>
      <c r="N199" s="7" t="s">
        <v>10</v>
      </c>
      <c r="O199" s="7"/>
      <c r="P199" s="10" t="s">
        <v>10</v>
      </c>
      <c r="Q199" s="59" t="s">
        <v>254</v>
      </c>
      <c r="R199" s="59"/>
      <c r="S199" s="59"/>
      <c r="T199" s="7" t="s">
        <v>10</v>
      </c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s="1" customFormat="1" ht="15.75" customHeight="1">
      <c r="A200" s="7" t="s">
        <v>10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60" t="s">
        <v>259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7" t="s">
        <v>10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s="1" customFormat="1" ht="13.5" customHeight="1">
      <c r="A202" s="4" t="s">
        <v>260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</sheetData>
  <sheetProtection/>
  <mergeCells count="1249">
    <mergeCell ref="A200:AC200"/>
    <mergeCell ref="A201:J201"/>
    <mergeCell ref="K201:AC201"/>
    <mergeCell ref="A202:AC202"/>
    <mergeCell ref="A199:B199"/>
    <mergeCell ref="D199:G199"/>
    <mergeCell ref="J199:M199"/>
    <mergeCell ref="N199:O199"/>
    <mergeCell ref="Q199:S199"/>
    <mergeCell ref="T199:AC199"/>
    <mergeCell ref="A197:AC197"/>
    <mergeCell ref="A198:B198"/>
    <mergeCell ref="C198:H198"/>
    <mergeCell ref="I198:O198"/>
    <mergeCell ref="P198:T198"/>
    <mergeCell ref="U198:AC198"/>
    <mergeCell ref="A194:AC194"/>
    <mergeCell ref="A195:H195"/>
    <mergeCell ref="I195:O195"/>
    <mergeCell ref="P195:T195"/>
    <mergeCell ref="U195:AC195"/>
    <mergeCell ref="A196:H196"/>
    <mergeCell ref="J196:M196"/>
    <mergeCell ref="N196:O196"/>
    <mergeCell ref="Q196:S196"/>
    <mergeCell ref="T196:AC196"/>
    <mergeCell ref="A191:AC191"/>
    <mergeCell ref="A192:H192"/>
    <mergeCell ref="I192:O192"/>
    <mergeCell ref="P192:T192"/>
    <mergeCell ref="U192:AC192"/>
    <mergeCell ref="A193:H193"/>
    <mergeCell ref="J193:M193"/>
    <mergeCell ref="N193:O193"/>
    <mergeCell ref="Q193:S193"/>
    <mergeCell ref="T193:AC193"/>
    <mergeCell ref="A190:L190"/>
    <mergeCell ref="M190:O190"/>
    <mergeCell ref="P190:R190"/>
    <mergeCell ref="S190:U190"/>
    <mergeCell ref="V190:Z190"/>
    <mergeCell ref="AA190:AC190"/>
    <mergeCell ref="A189:L189"/>
    <mergeCell ref="M189:O189"/>
    <mergeCell ref="P189:R189"/>
    <mergeCell ref="S189:U189"/>
    <mergeCell ref="V189:Z189"/>
    <mergeCell ref="AA189:AC189"/>
    <mergeCell ref="A188:L188"/>
    <mergeCell ref="M188:O188"/>
    <mergeCell ref="P188:R188"/>
    <mergeCell ref="S188:U188"/>
    <mergeCell ref="V188:Z188"/>
    <mergeCell ref="AA188:AC188"/>
    <mergeCell ref="A187:L187"/>
    <mergeCell ref="M187:O187"/>
    <mergeCell ref="P187:R187"/>
    <mergeCell ref="S187:U187"/>
    <mergeCell ref="V187:Z187"/>
    <mergeCell ref="AA187:AC187"/>
    <mergeCell ref="A185:AC185"/>
    <mergeCell ref="A186:L186"/>
    <mergeCell ref="M186:O186"/>
    <mergeCell ref="P186:R186"/>
    <mergeCell ref="S186:U186"/>
    <mergeCell ref="V186:Z186"/>
    <mergeCell ref="AA186:AC186"/>
    <mergeCell ref="A184:L184"/>
    <mergeCell ref="M184:O184"/>
    <mergeCell ref="P184:R184"/>
    <mergeCell ref="S184:U184"/>
    <mergeCell ref="V184:Z184"/>
    <mergeCell ref="AA184:AC184"/>
    <mergeCell ref="A183:L183"/>
    <mergeCell ref="M183:O183"/>
    <mergeCell ref="P183:R183"/>
    <mergeCell ref="S183:U183"/>
    <mergeCell ref="V183:Z183"/>
    <mergeCell ref="AA183:AC183"/>
    <mergeCell ref="A182:L182"/>
    <mergeCell ref="M182:O182"/>
    <mergeCell ref="P182:R182"/>
    <mergeCell ref="S182:U182"/>
    <mergeCell ref="V182:Z182"/>
    <mergeCell ref="AA182:AC182"/>
    <mergeCell ref="A181:L181"/>
    <mergeCell ref="M181:O181"/>
    <mergeCell ref="P181:R181"/>
    <mergeCell ref="S181:U181"/>
    <mergeCell ref="V181:Z181"/>
    <mergeCell ref="AA181:AC181"/>
    <mergeCell ref="AB177:AC177"/>
    <mergeCell ref="A178:AC178"/>
    <mergeCell ref="A179:AC179"/>
    <mergeCell ref="A180:L180"/>
    <mergeCell ref="M180:O180"/>
    <mergeCell ref="P180:R180"/>
    <mergeCell ref="S180:U180"/>
    <mergeCell ref="V180:Z180"/>
    <mergeCell ref="AA180:AC180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7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2021-11-09T04:53:15Z</dcterms:created>
  <dcterms:modified xsi:type="dcterms:W3CDTF">2021-11-09T04:53:15Z</dcterms:modified>
  <cp:category/>
  <cp:version/>
  <cp:contentType/>
  <cp:contentStatus/>
</cp:coreProperties>
</file>