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<sst xmlns="http://schemas.openxmlformats.org/spreadsheetml/2006/main" count="830" uniqueCount="263">
  <si>
    <t>ОТЧЕТ ОБ ИСПОЛНЕНИИ БЮДЖЕТА</t>
  </si>
  <si>
    <t>КОДЫ</t>
  </si>
  <si>
    <t xml:space="preserve">Форма по ОКУД </t>
  </si>
  <si>
    <t>0503117</t>
  </si>
  <si>
    <t>на 1 сентября 2021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</si>
  <si>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</si>
  <si>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</si>
  <si>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</si>
  <si>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</si>
  <si>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</si>
  <si>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</si>
  <si>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</si>
  <si>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</si>
  <si>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</si>
  <si>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</si>
  <si>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</si>
  <si>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</si>
  <si>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</si>
  <si>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</si>
  <si>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</si>
  <si>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</si>
  <si>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</si>
  <si>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</si>
  <si>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</si>
  <si>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</si>
  <si>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</si>
  <si>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</si>
  <si>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</si>
  <si>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</si>
  <si>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</si>
  <si>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</si>
  <si>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</si>
  <si>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</si>
  <si>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</si>
  <si>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</si>
  <si>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</si>
  <si>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</si>
  <si>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</si>
  <si>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</si>
  <si>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</si>
  <si>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</si>
  <si>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</si>
  <si>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</si>
  <si>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</si>
  <si>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</si>
  <si>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</si>
  <si>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</si>
  <si>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</si>
  <si>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</si>
  <si>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</si>
  <si>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</si>
  <si>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</si>
  <si>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</si>
  <si>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</si>
  <si>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</si>
  <si>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</si>
  <si>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</si>
  <si>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</si>
  <si>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</si>
  <si>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</si>
  <si>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</si>
  <si>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</si>
  <si>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</si>
  <si>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</si>
  <si>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</si>
  <si>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</si>
  <si>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</si>
  <si>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</si>
  <si>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</si>
  <si>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</si>
  <si>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</si>
  <si>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</si>
  <si>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</si>
  <si>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</si>
  <si>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</si>
  <si>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</si>
  <si>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</si>
  <si>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</si>
  <si>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</si>
  <si>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</si>
  <si>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</si>
  <si>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</si>
  <si>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</si>
  <si>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</si>
  <si>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</si>
  <si>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</si>
  <si>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</si>
  <si>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</si>
  <si>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</si>
  <si>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</si>
  <si>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</si>
  <si>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</si>
  <si>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</si>
  <si>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</si>
  <si>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</si>
  <si>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</si>
  <si>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</si>
  <si>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</si>
  <si>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</si>
  <si>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</si>
  <si>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</si>
  <si>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</si>
  <si>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</si>
  <si>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</si>
  <si>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</si>
  <si>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</si>
  <si>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</si>
  <si>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</si>
  <si>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650 0104 1041202040 122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</si>
  <si>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</si>
  <si>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</si>
  <si>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</si>
  <si>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</si>
  <si>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</si>
  <si>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</si>
  <si>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</si>
  <si>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</si>
  <si>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</si>
  <si>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</si>
  <si>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</si>
  <si>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650 0113 1014202400 244</t>
  </si>
  <si>
    <t>650 0113 1014400590 244</t>
  </si>
  <si>
    <t>650 0113 1014402400 244</t>
  </si>
  <si>
    <t>650 0113 1014502400 244</t>
  </si>
  <si>
    <t>Увеличение стоимости прочих материальных запасов однократного применения</t>
  </si>
  <si>
    <t>650 0113 1014802400 244</t>
  </si>
  <si>
    <t>349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</si>
  <si>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</si>
  <si>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</si>
  <si>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</si>
  <si>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</si>
  <si>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</si>
  <si>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</si>
  <si>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</si>
  <si>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</si>
  <si>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</si>
  <si>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</si>
  <si>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</si>
  <si>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</si>
  <si>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</si>
  <si>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</si>
  <si>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</si>
  <si>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</si>
  <si>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</si>
  <si>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</si>
  <si>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</si>
  <si>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</si>
  <si>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650 0113 1041400590 247</t>
  </si>
  <si>
    <t>650 0113 1041402400 244</t>
  </si>
  <si>
    <t>Страхование</t>
  </si>
  <si>
    <t>227</t>
  </si>
  <si>
    <t>Увеличение стоимости нематериальных активов</t>
  </si>
  <si>
    <t>320</t>
  </si>
  <si>
    <t>Налоги, пошлины и сборы</t>
  </si>
  <si>
    <t>650 0113 1041402400 851</t>
  </si>
  <si>
    <t>291</t>
  </si>
  <si>
    <t>650 0113 1041402400 852</t>
  </si>
  <si>
    <t>Другие экономические санкции</t>
  </si>
  <si>
    <t>650 0113 6000002400 853</t>
  </si>
  <si>
    <t>295</t>
  </si>
  <si>
    <t>Транспортные услуги</t>
  </si>
  <si>
    <t>650 0113 6000079990 244</t>
  </si>
  <si>
    <t>222</t>
  </si>
  <si>
    <t>650 0203 1043151180 121</t>
  </si>
  <si>
    <t>Прочие несоциальные выплаты персоналу в денежной форме</t>
  </si>
  <si>
    <t>650 0203 1043151180 122</t>
  </si>
  <si>
    <t>212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</si>
  <si>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</si>
  <si>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</si>
  <si>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</si>
  <si>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</si>
  <si>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</si>
  <si>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650 0310 1522300590 244</t>
  </si>
  <si>
    <t>650 0314 1211500590 244</t>
  </si>
  <si>
    <t>650 0314 1221182300 123</t>
  </si>
  <si>
    <t>650 0314 12211S2300 123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</si>
  <si>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</si>
  <si>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</si>
  <si>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</si>
  <si>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</si>
  <si>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</si>
  <si>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</si>
  <si>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</si>
  <si>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</si>
  <si>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</si>
  <si>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</si>
  <si>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</si>
  <si>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650 0409 1111492400 247</t>
  </si>
  <si>
    <t>650 0409 1111589190 244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</si>
  <si>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</si>
  <si>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</si>
  <si>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</si>
  <si>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</si>
  <si>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</si>
  <si>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650 0501 1321102400 244</t>
  </si>
  <si>
    <t>650 0501 1341102400 244</t>
  </si>
  <si>
    <t>650 0501 1351102400 244</t>
  </si>
  <si>
    <t>650 0501 1351102400 247</t>
  </si>
  <si>
    <t>650 0501 1351302400 244</t>
  </si>
  <si>
    <t>650 0501 6000002400 244</t>
  </si>
  <si>
    <t>650 0502 1361202400 244</t>
  </si>
  <si>
    <t>650 0503 1421500590 244</t>
  </si>
  <si>
    <t>650 0503 1421600590 244</t>
  </si>
  <si>
    <t>650 0503 1431100590 244</t>
  </si>
  <si>
    <t>650 0503 1431200590 244</t>
  </si>
  <si>
    <t>Увеличение стоимости материальных запасов для целей капитальных вложений</t>
  </si>
  <si>
    <t>347</t>
  </si>
  <si>
    <t>650 0503 1431300590 244</t>
  </si>
  <si>
    <t>650 0503 1431400590 244</t>
  </si>
  <si>
    <t>650 0503 1432200590 244</t>
  </si>
  <si>
    <t>650 0505 1041202040 540</t>
  </si>
  <si>
    <t>650 0707 0913100590 111</t>
  </si>
  <si>
    <t>650 0707 0913100590 119</t>
  </si>
  <si>
    <t>650 0707 1042170145 111</t>
  </si>
  <si>
    <t>650 0707 1042170145 119</t>
  </si>
  <si>
    <t>650 0707 1042170145 244</t>
  </si>
  <si>
    <t>650 0801 0911200590 244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</si>
  <si>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</si>
  <si>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</si>
  <si>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</si>
  <si>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</si>
  <si>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</si>
  <si>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</si>
  <si>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650 0801 0913100590 244</t>
  </si>
  <si>
    <t>650 0801 0913100590 247</t>
  </si>
  <si>
    <t>650 0801 0913272580 111</t>
  </si>
  <si>
    <t>650 0801 0913272580 119</t>
  </si>
  <si>
    <t>650 0801 0921100590 244</t>
  </si>
  <si>
    <t>650 0801 0921170050 244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</si>
  <si>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</si>
  <si>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</si>
  <si>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</si>
  <si>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</si>
  <si>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</si>
  <si>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</si>
  <si>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</si>
  <si>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</si>
  <si>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</si>
  <si>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</si>
  <si>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</si>
  <si>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</si>
  <si>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</si>
  <si>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</si>
  <si>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</si>
  <si>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</si>
  <si>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</si>
  <si>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</si>
  <si>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</si>
  <si>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</si>
  <si>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</si>
  <si>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</si>
  <si>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</si>
  <si>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</si>
  <si>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</si>
  <si>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</si>
  <si>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</si>
  <si>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</si>
  <si>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</si>
  <si>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</si>
  <si>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</si>
  <si>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</si>
  <si>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9 ноября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</si>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</sst>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0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44440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51390682.06</f>
        <v>51390682.06</v>
      </c>
      <c r="T12" s="21"/>
      <c r="U12" s="21"/>
      <c r="V12" s="21">
        <f>34815982.96</f>
        <v>34815982.96</v>
      </c>
      <c r="W12" s="21"/>
      <c r="X12" s="21"/>
      <c r="Y12" s="21"/>
      <c r="Z12" s="21"/>
      <c r="AA12" s="22">
        <f>16574699.1</f>
        <v>16574699.1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200000</f>
        <v>200000</v>
      </c>
      <c r="T13" s="25"/>
      <c r="U13" s="25"/>
      <c r="V13" s="25">
        <f>100063</f>
        <v>100063</v>
      </c>
      <c r="W13" s="25"/>
      <c r="X13" s="25"/>
      <c r="Y13" s="25"/>
      <c r="Z13" s="25"/>
      <c r="AA13" s="26">
        <f>99937</f>
        <v>99937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60000</f>
        <v>60000</v>
      </c>
      <c r="T14" s="25"/>
      <c r="U14" s="25"/>
      <c r="V14" s="25">
        <f>42535.93</f>
        <v>42535.93</v>
      </c>
      <c r="W14" s="25"/>
      <c r="X14" s="25"/>
      <c r="Y14" s="25"/>
      <c r="Z14" s="25"/>
      <c r="AA14" s="26">
        <f>17464.07</f>
        <v>17464.07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2142300</f>
        <v>2142300</v>
      </c>
      <c r="T15" s="25"/>
      <c r="U15" s="25"/>
      <c r="V15" s="25">
        <f>1358748.73</f>
        <v>1358748.73</v>
      </c>
      <c r="W15" s="25"/>
      <c r="X15" s="25"/>
      <c r="Y15" s="25"/>
      <c r="Z15" s="25"/>
      <c r="AA15" s="26">
        <f>783551.27</f>
        <v>783551.27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12210</f>
        <v>12210</v>
      </c>
      <c r="T16" s="25"/>
      <c r="U16" s="25"/>
      <c r="V16" s="25">
        <f>10123.79</f>
        <v>10123.79</v>
      </c>
      <c r="W16" s="25"/>
      <c r="X16" s="25"/>
      <c r="Y16" s="25"/>
      <c r="Z16" s="25"/>
      <c r="AA16" s="26">
        <f>2086.21</f>
        <v>2086.21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2818070</f>
        <v>2818070</v>
      </c>
      <c r="T17" s="25"/>
      <c r="U17" s="25"/>
      <c r="V17" s="25">
        <f>1885777.86</f>
        <v>1885777.86</v>
      </c>
      <c r="W17" s="25"/>
      <c r="X17" s="25"/>
      <c r="Y17" s="25"/>
      <c r="Z17" s="25"/>
      <c r="AA17" s="26">
        <f>932292.14</f>
        <v>932292.14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-306930</f>
        <v>-306930</v>
      </c>
      <c r="T18" s="25"/>
      <c r="U18" s="25"/>
      <c r="V18" s="25">
        <f>-248233.75</f>
        <v>-248233.75</v>
      </c>
      <c r="W18" s="25"/>
      <c r="X18" s="25"/>
      <c r="Y18" s="25"/>
      <c r="Z18" s="25"/>
      <c r="AA18" s="26">
        <f>-58696.25</f>
        <v>-58696.25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4100000</f>
        <v>4100000</v>
      </c>
      <c r="T19" s="25"/>
      <c r="U19" s="25"/>
      <c r="V19" s="25">
        <f>2526262.28</f>
        <v>2526262.28</v>
      </c>
      <c r="W19" s="25"/>
      <c r="X19" s="25"/>
      <c r="Y19" s="25"/>
      <c r="Z19" s="25"/>
      <c r="AA19" s="26">
        <f>1573737.72</f>
        <v>1573737.72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5">
        <f>2000</f>
        <v>2000</v>
      </c>
      <c r="T20" s="25"/>
      <c r="U20" s="25"/>
      <c r="V20" s="25">
        <f>2209.78</f>
        <v>2209.78</v>
      </c>
      <c r="W20" s="25"/>
      <c r="X20" s="25"/>
      <c r="Y20" s="25"/>
      <c r="Z20" s="25"/>
      <c r="AA20" s="27" t="s">
        <v>53</v>
      </c>
      <c r="AB20" s="27"/>
      <c r="AC20" s="27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80000</f>
        <v>80000</v>
      </c>
      <c r="T21" s="25"/>
      <c r="U21" s="25"/>
      <c r="V21" s="25">
        <f>79881.82</f>
        <v>79881.82</v>
      </c>
      <c r="W21" s="25"/>
      <c r="X21" s="25"/>
      <c r="Y21" s="25"/>
      <c r="Z21" s="25"/>
      <c r="AA21" s="26">
        <f>118.18</f>
        <v>118.18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35500</f>
        <v>35500</v>
      </c>
      <c r="T22" s="25"/>
      <c r="U22" s="25"/>
      <c r="V22" s="25">
        <f>35236.56</f>
        <v>35236.56</v>
      </c>
      <c r="W22" s="25"/>
      <c r="X22" s="25"/>
      <c r="Y22" s="25"/>
      <c r="Z22" s="25"/>
      <c r="AA22" s="26">
        <f>263.44</f>
        <v>263.44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30551.5</f>
        <v>30551.5</v>
      </c>
      <c r="W23" s="25"/>
      <c r="X23" s="25"/>
      <c r="Y23" s="25"/>
      <c r="Z23" s="25"/>
      <c r="AA23" s="26">
        <f>171448.5</f>
        <v>171448.5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7000</f>
        <v>7000</v>
      </c>
      <c r="T24" s="25"/>
      <c r="U24" s="25"/>
      <c r="V24" s="25">
        <f>5423.79</f>
        <v>5423.79</v>
      </c>
      <c r="W24" s="25"/>
      <c r="X24" s="25"/>
      <c r="Y24" s="25"/>
      <c r="Z24" s="25"/>
      <c r="AA24" s="26">
        <f>1576.21</f>
        <v>1576.21</v>
      </c>
      <c r="AB24" s="26"/>
      <c r="AC24" s="26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3280.7</f>
        <v>3280.7</v>
      </c>
      <c r="W25" s="25"/>
      <c r="X25" s="25"/>
      <c r="Y25" s="25"/>
      <c r="Z25" s="25"/>
      <c r="AA25" s="26">
        <f>27479.3</f>
        <v>27479.3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570000</f>
        <v>570000</v>
      </c>
      <c r="T26" s="25"/>
      <c r="U26" s="25"/>
      <c r="V26" s="25">
        <f>470122.19</f>
        <v>470122.19</v>
      </c>
      <c r="W26" s="25"/>
      <c r="X26" s="25"/>
      <c r="Y26" s="25"/>
      <c r="Z26" s="25"/>
      <c r="AA26" s="26">
        <f>99877.81</f>
        <v>99877.81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130000</f>
        <v>130000</v>
      </c>
      <c r="T27" s="25"/>
      <c r="U27" s="25"/>
      <c r="V27" s="25">
        <f>7530.39</f>
        <v>7530.39</v>
      </c>
      <c r="W27" s="25"/>
      <c r="X27" s="25"/>
      <c r="Y27" s="25"/>
      <c r="Z27" s="25"/>
      <c r="AA27" s="26">
        <f>122469.61</f>
        <v>122469.61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46000</f>
        <v>46000</v>
      </c>
      <c r="T28" s="25"/>
      <c r="U28" s="25"/>
      <c r="V28" s="25">
        <f>30970</f>
        <v>30970</v>
      </c>
      <c r="W28" s="25"/>
      <c r="X28" s="25"/>
      <c r="Y28" s="25"/>
      <c r="Z28" s="25"/>
      <c r="AA28" s="26">
        <f>15030</f>
        <v>15030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11200</f>
        <v>11200</v>
      </c>
      <c r="T29" s="25"/>
      <c r="U29" s="25"/>
      <c r="V29" s="25">
        <f>11200</f>
        <v>11200</v>
      </c>
      <c r="W29" s="25"/>
      <c r="X29" s="25"/>
      <c r="Y29" s="25"/>
      <c r="Z29" s="25"/>
      <c r="AA29" s="26">
        <f>0</f>
        <v>0</v>
      </c>
      <c r="AB29" s="26"/>
      <c r="AC29" s="26"/>
    </row>
    <row r="30" spans="1:29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100227.86</f>
        <v>100227.86</v>
      </c>
      <c r="T30" s="25"/>
      <c r="U30" s="25"/>
      <c r="V30" s="25">
        <f>74796.12</f>
        <v>74796.12</v>
      </c>
      <c r="W30" s="25"/>
      <c r="X30" s="25"/>
      <c r="Y30" s="25"/>
      <c r="Z30" s="25"/>
      <c r="AA30" s="26">
        <f>25431.74</f>
        <v>25431.74</v>
      </c>
      <c r="AB30" s="26"/>
      <c r="AC30" s="26"/>
    </row>
    <row r="31" spans="1:29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780000</f>
        <v>780000</v>
      </c>
      <c r="T31" s="25"/>
      <c r="U31" s="25"/>
      <c r="V31" s="25">
        <f>490705.3</f>
        <v>490705.3</v>
      </c>
      <c r="W31" s="25"/>
      <c r="X31" s="25"/>
      <c r="Y31" s="25"/>
      <c r="Z31" s="25"/>
      <c r="AA31" s="26">
        <f>289294.7</f>
        <v>289294.7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120000</f>
        <v>120000</v>
      </c>
      <c r="T32" s="25"/>
      <c r="U32" s="25"/>
      <c r="V32" s="25">
        <f>96750</f>
        <v>96750</v>
      </c>
      <c r="W32" s="25"/>
      <c r="X32" s="25"/>
      <c r="Y32" s="25"/>
      <c r="Z32" s="25"/>
      <c r="AA32" s="26">
        <f>23250</f>
        <v>23250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258225.45</f>
        <v>258225.45</v>
      </c>
      <c r="T33" s="25"/>
      <c r="U33" s="25"/>
      <c r="V33" s="25">
        <f>125381.97</f>
        <v>125381.97</v>
      </c>
      <c r="W33" s="25"/>
      <c r="X33" s="25"/>
      <c r="Y33" s="25"/>
      <c r="Z33" s="25"/>
      <c r="AA33" s="26">
        <f>132843.48</f>
        <v>132843.48</v>
      </c>
      <c r="AB33" s="26"/>
      <c r="AC33" s="26"/>
    </row>
    <row r="34" spans="1:29" s="1" customFormat="1" ht="54.7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663200</f>
        <v>663200</v>
      </c>
      <c r="T34" s="25"/>
      <c r="U34" s="25"/>
      <c r="V34" s="25">
        <f>663200</f>
        <v>663200</v>
      </c>
      <c r="W34" s="25"/>
      <c r="X34" s="25"/>
      <c r="Y34" s="25"/>
      <c r="Z34" s="25"/>
      <c r="AA34" s="26">
        <f>0</f>
        <v>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26631200</f>
        <v>26631200</v>
      </c>
      <c r="T35" s="25"/>
      <c r="U35" s="25"/>
      <c r="V35" s="25">
        <f>18309302.01</f>
        <v>18309302.01</v>
      </c>
      <c r="W35" s="25"/>
      <c r="X35" s="25"/>
      <c r="Y35" s="25"/>
      <c r="Z35" s="25"/>
      <c r="AA35" s="26">
        <f>8321897.99</f>
        <v>8321897.99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19685.71</f>
        <v>19685.71</v>
      </c>
      <c r="T36" s="25"/>
      <c r="U36" s="25"/>
      <c r="V36" s="28" t="s">
        <v>53</v>
      </c>
      <c r="W36" s="28"/>
      <c r="X36" s="28"/>
      <c r="Y36" s="28"/>
      <c r="Z36" s="28"/>
      <c r="AA36" s="26">
        <f>19685.71</f>
        <v>19685.71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466400</f>
        <v>466400</v>
      </c>
      <c r="T37" s="25"/>
      <c r="U37" s="25"/>
      <c r="V37" s="25">
        <f>349800</f>
        <v>349800</v>
      </c>
      <c r="W37" s="25"/>
      <c r="X37" s="25"/>
      <c r="Y37" s="25"/>
      <c r="Z37" s="25"/>
      <c r="AA37" s="26">
        <f>116600</f>
        <v>116600</v>
      </c>
      <c r="AB37" s="26"/>
      <c r="AC37" s="26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84399.94</f>
        <v>84399.94</v>
      </c>
      <c r="T38" s="25"/>
      <c r="U38" s="25"/>
      <c r="V38" s="25">
        <f>60302.23</f>
        <v>60302.23</v>
      </c>
      <c r="W38" s="25"/>
      <c r="X38" s="25"/>
      <c r="Y38" s="25"/>
      <c r="Z38" s="25"/>
      <c r="AA38" s="26">
        <f>24097.71</f>
        <v>24097.71</v>
      </c>
      <c r="AB38" s="26"/>
      <c r="AC38" s="26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12127233.1</f>
        <v>12127233.1</v>
      </c>
      <c r="T39" s="25"/>
      <c r="U39" s="25"/>
      <c r="V39" s="25">
        <f>8294060.76</f>
        <v>8294060.76</v>
      </c>
      <c r="W39" s="25"/>
      <c r="X39" s="25"/>
      <c r="Y39" s="25"/>
      <c r="Z39" s="25"/>
      <c r="AA39" s="26">
        <f>3833172.34</f>
        <v>3833172.34</v>
      </c>
      <c r="AB39" s="26"/>
      <c r="AC39" s="26"/>
    </row>
    <row r="40" spans="1:29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1" customFormat="1" ht="13.5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23</v>
      </c>
      <c r="M42" s="13"/>
      <c r="N42" s="13"/>
      <c r="O42" s="13" t="s">
        <v>93</v>
      </c>
      <c r="P42" s="13"/>
      <c r="Q42" s="13"/>
      <c r="R42" s="14" t="s">
        <v>94</v>
      </c>
      <c r="S42" s="14"/>
      <c r="T42" s="14" t="s">
        <v>25</v>
      </c>
      <c r="U42" s="14"/>
      <c r="V42" s="14"/>
      <c r="W42" s="14" t="s">
        <v>26</v>
      </c>
      <c r="X42" s="14"/>
      <c r="Y42" s="14"/>
      <c r="Z42" s="14"/>
      <c r="AA42" s="14"/>
      <c r="AB42" s="15" t="s">
        <v>27</v>
      </c>
      <c r="AC42" s="15"/>
    </row>
    <row r="43" spans="1:29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29</v>
      </c>
      <c r="M43" s="16"/>
      <c r="N43" s="16"/>
      <c r="O43" s="16" t="s">
        <v>30</v>
      </c>
      <c r="P43" s="16"/>
      <c r="Q43" s="16"/>
      <c r="R43" s="17" t="s">
        <v>31</v>
      </c>
      <c r="S43" s="17"/>
      <c r="T43" s="17" t="s">
        <v>32</v>
      </c>
      <c r="U43" s="17"/>
      <c r="V43" s="17"/>
      <c r="W43" s="17" t="s">
        <v>33</v>
      </c>
      <c r="X43" s="17"/>
      <c r="Y43" s="17"/>
      <c r="Z43" s="17"/>
      <c r="AA43" s="17"/>
      <c r="AB43" s="18" t="s">
        <v>95</v>
      </c>
      <c r="AC43" s="18"/>
    </row>
    <row r="44" spans="1:29" s="1" customFormat="1" ht="13.5" customHeight="1">
      <c r="A44" s="19" t="s">
        <v>96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97</v>
      </c>
      <c r="M44" s="20"/>
      <c r="N44" s="20"/>
      <c r="O44" s="20" t="s">
        <v>36</v>
      </c>
      <c r="P44" s="20"/>
      <c r="Q44" s="20"/>
      <c r="R44" s="30" t="s">
        <v>36</v>
      </c>
      <c r="S44" s="30"/>
      <c r="T44" s="21">
        <f>54108784.42</f>
        <v>54108784.42</v>
      </c>
      <c r="U44" s="21"/>
      <c r="V44" s="21"/>
      <c r="W44" s="21">
        <f>33883077.71</f>
        <v>33883077.71</v>
      </c>
      <c r="X44" s="21"/>
      <c r="Y44" s="21"/>
      <c r="Z44" s="21"/>
      <c r="AA44" s="21"/>
      <c r="AB44" s="22">
        <f>20225706.71</f>
        <v>20225706.71</v>
      </c>
      <c r="AC44" s="22"/>
    </row>
    <row r="45" spans="1:29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97</v>
      </c>
      <c r="M45" s="32"/>
      <c r="N45" s="32"/>
      <c r="O45" s="32" t="s">
        <v>99</v>
      </c>
      <c r="P45" s="32"/>
      <c r="Q45" s="32"/>
      <c r="R45" s="33" t="s">
        <v>100</v>
      </c>
      <c r="S45" s="33"/>
      <c r="T45" s="34">
        <f>1410101.05</f>
        <v>1410101.05</v>
      </c>
      <c r="U45" s="34"/>
      <c r="V45" s="34"/>
      <c r="W45" s="34">
        <f>967504.83</f>
        <v>967504.83</v>
      </c>
      <c r="X45" s="34"/>
      <c r="Y45" s="34"/>
      <c r="Z45" s="34"/>
      <c r="AA45" s="34"/>
      <c r="AB45" s="35">
        <f>442596.22</f>
        <v>442596.22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97</v>
      </c>
      <c r="M46" s="32"/>
      <c r="N46" s="32"/>
      <c r="O46" s="32" t="s">
        <v>102</v>
      </c>
      <c r="P46" s="32"/>
      <c r="Q46" s="32"/>
      <c r="R46" s="33" t="s">
        <v>103</v>
      </c>
      <c r="S46" s="33"/>
      <c r="T46" s="34">
        <f>380320</f>
        <v>380320</v>
      </c>
      <c r="U46" s="34"/>
      <c r="V46" s="34"/>
      <c r="W46" s="34">
        <f>285385.39</f>
        <v>285385.39</v>
      </c>
      <c r="X46" s="34"/>
      <c r="Y46" s="34"/>
      <c r="Z46" s="34"/>
      <c r="AA46" s="34"/>
      <c r="AB46" s="35">
        <f>94934.61</f>
        <v>94934.61</v>
      </c>
      <c r="AC46" s="35"/>
    </row>
    <row r="47" spans="1:29" s="1" customFormat="1" ht="13.5" customHeight="1">
      <c r="A47" s="31" t="s">
        <v>98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97</v>
      </c>
      <c r="M47" s="32"/>
      <c r="N47" s="32"/>
      <c r="O47" s="32" t="s">
        <v>104</v>
      </c>
      <c r="P47" s="32"/>
      <c r="Q47" s="32"/>
      <c r="R47" s="33" t="s">
        <v>100</v>
      </c>
      <c r="S47" s="33"/>
      <c r="T47" s="34">
        <f>7638894.44</f>
        <v>7638894.44</v>
      </c>
      <c r="U47" s="34"/>
      <c r="V47" s="34"/>
      <c r="W47" s="34">
        <f>4778851.14</f>
        <v>4778851.14</v>
      </c>
      <c r="X47" s="34"/>
      <c r="Y47" s="34"/>
      <c r="Z47" s="34"/>
      <c r="AA47" s="34"/>
      <c r="AB47" s="35">
        <f>2860043.3</f>
        <v>2860043.3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97</v>
      </c>
      <c r="M48" s="32"/>
      <c r="N48" s="32"/>
      <c r="O48" s="32" t="s">
        <v>104</v>
      </c>
      <c r="P48" s="32"/>
      <c r="Q48" s="32"/>
      <c r="R48" s="33" t="s">
        <v>106</v>
      </c>
      <c r="S48" s="33"/>
      <c r="T48" s="34">
        <f>23214.64</f>
        <v>23214.64</v>
      </c>
      <c r="U48" s="34"/>
      <c r="V48" s="34"/>
      <c r="W48" s="34">
        <f>23214.64</f>
        <v>23214.64</v>
      </c>
      <c r="X48" s="34"/>
      <c r="Y48" s="34"/>
      <c r="Z48" s="34"/>
      <c r="AA48" s="34"/>
      <c r="AB48" s="35">
        <f>0</f>
        <v>0</v>
      </c>
      <c r="AC48" s="35"/>
    </row>
    <row r="49" spans="1:29" s="1" customFormat="1" ht="13.5" customHeight="1">
      <c r="A49" s="31" t="s">
        <v>107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97</v>
      </c>
      <c r="M49" s="32"/>
      <c r="N49" s="32"/>
      <c r="O49" s="32" t="s">
        <v>108</v>
      </c>
      <c r="P49" s="32"/>
      <c r="Q49" s="32"/>
      <c r="R49" s="33" t="s">
        <v>109</v>
      </c>
      <c r="S49" s="33"/>
      <c r="T49" s="34">
        <f>200000</f>
        <v>200000</v>
      </c>
      <c r="U49" s="34"/>
      <c r="V49" s="34"/>
      <c r="W49" s="34">
        <f>135580.76</f>
        <v>135580.76</v>
      </c>
      <c r="X49" s="34"/>
      <c r="Y49" s="34"/>
      <c r="Z49" s="34"/>
      <c r="AA49" s="34"/>
      <c r="AB49" s="35">
        <f>64419.24</f>
        <v>64419.24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97</v>
      </c>
      <c r="M50" s="32"/>
      <c r="N50" s="32"/>
      <c r="O50" s="32" t="s">
        <v>108</v>
      </c>
      <c r="P50" s="32"/>
      <c r="Q50" s="32"/>
      <c r="R50" s="33" t="s">
        <v>111</v>
      </c>
      <c r="S50" s="33"/>
      <c r="T50" s="34">
        <f>3040</f>
        <v>3040</v>
      </c>
      <c r="U50" s="34"/>
      <c r="V50" s="34"/>
      <c r="W50" s="34">
        <f>3040</f>
        <v>3040</v>
      </c>
      <c r="X50" s="34"/>
      <c r="Y50" s="34"/>
      <c r="Z50" s="34"/>
      <c r="AA50" s="34"/>
      <c r="AB50" s="35">
        <f>0</f>
        <v>0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97</v>
      </c>
      <c r="M51" s="32"/>
      <c r="N51" s="32"/>
      <c r="O51" s="32" t="s">
        <v>108</v>
      </c>
      <c r="P51" s="32"/>
      <c r="Q51" s="32"/>
      <c r="R51" s="33" t="s">
        <v>113</v>
      </c>
      <c r="S51" s="33"/>
      <c r="T51" s="34">
        <f>90000</f>
        <v>90000</v>
      </c>
      <c r="U51" s="34"/>
      <c r="V51" s="34"/>
      <c r="W51" s="34">
        <f>28595</f>
        <v>28595</v>
      </c>
      <c r="X51" s="34"/>
      <c r="Y51" s="34"/>
      <c r="Z51" s="34"/>
      <c r="AA51" s="34"/>
      <c r="AB51" s="35">
        <f>61405</f>
        <v>61405</v>
      </c>
      <c r="AC51" s="35"/>
    </row>
    <row r="52" spans="1:29" s="1" customFormat="1" ht="13.5" customHeight="1">
      <c r="A52" s="31" t="s">
        <v>101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97</v>
      </c>
      <c r="M52" s="32"/>
      <c r="N52" s="32"/>
      <c r="O52" s="32" t="s">
        <v>114</v>
      </c>
      <c r="P52" s="32"/>
      <c r="Q52" s="32"/>
      <c r="R52" s="33" t="s">
        <v>103</v>
      </c>
      <c r="S52" s="33"/>
      <c r="T52" s="34">
        <f>2301943.86</f>
        <v>2301943.86</v>
      </c>
      <c r="U52" s="34"/>
      <c r="V52" s="34"/>
      <c r="W52" s="34">
        <f>1323463.76</f>
        <v>1323463.76</v>
      </c>
      <c r="X52" s="34"/>
      <c r="Y52" s="34"/>
      <c r="Z52" s="34"/>
      <c r="AA52" s="34"/>
      <c r="AB52" s="35">
        <f>978480.1</f>
        <v>978480.1</v>
      </c>
      <c r="AC52" s="35"/>
    </row>
    <row r="53" spans="1:29" s="1" customFormat="1" ht="13.5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97</v>
      </c>
      <c r="M53" s="32"/>
      <c r="N53" s="32"/>
      <c r="O53" s="32" t="s">
        <v>116</v>
      </c>
      <c r="P53" s="32"/>
      <c r="Q53" s="32"/>
      <c r="R53" s="33" t="s">
        <v>117</v>
      </c>
      <c r="S53" s="33"/>
      <c r="T53" s="34">
        <f>259409</f>
        <v>259409</v>
      </c>
      <c r="U53" s="34"/>
      <c r="V53" s="34"/>
      <c r="W53" s="34">
        <f>194562</f>
        <v>194562</v>
      </c>
      <c r="X53" s="34"/>
      <c r="Y53" s="34"/>
      <c r="Z53" s="34"/>
      <c r="AA53" s="34"/>
      <c r="AB53" s="35">
        <f>64847</f>
        <v>64847</v>
      </c>
      <c r="AC53" s="35"/>
    </row>
    <row r="54" spans="1:29" s="1" customFormat="1" ht="13.5" customHeight="1">
      <c r="A54" s="31" t="s">
        <v>118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97</v>
      </c>
      <c r="M54" s="32"/>
      <c r="N54" s="32"/>
      <c r="O54" s="32" t="s">
        <v>119</v>
      </c>
      <c r="P54" s="32"/>
      <c r="Q54" s="32"/>
      <c r="R54" s="33" t="s">
        <v>97</v>
      </c>
      <c r="S54" s="33"/>
      <c r="T54" s="34">
        <f>100000</f>
        <v>100000</v>
      </c>
      <c r="U54" s="34"/>
      <c r="V54" s="34"/>
      <c r="W54" s="36" t="s">
        <v>53</v>
      </c>
      <c r="X54" s="36"/>
      <c r="Y54" s="36"/>
      <c r="Z54" s="36"/>
      <c r="AA54" s="36"/>
      <c r="AB54" s="35">
        <f>100000</f>
        <v>100000</v>
      </c>
      <c r="AC54" s="35"/>
    </row>
    <row r="55" spans="1:29" s="1" customFormat="1" ht="13.5" customHeight="1">
      <c r="A55" s="31" t="s">
        <v>110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97</v>
      </c>
      <c r="M55" s="32"/>
      <c r="N55" s="32"/>
      <c r="O55" s="32" t="s">
        <v>120</v>
      </c>
      <c r="P55" s="32"/>
      <c r="Q55" s="32"/>
      <c r="R55" s="33" t="s">
        <v>111</v>
      </c>
      <c r="S55" s="33"/>
      <c r="T55" s="34">
        <f>11500</f>
        <v>11500</v>
      </c>
      <c r="U55" s="34"/>
      <c r="V55" s="34"/>
      <c r="W55" s="34">
        <f>7500</f>
        <v>7500</v>
      </c>
      <c r="X55" s="34"/>
      <c r="Y55" s="34"/>
      <c r="Z55" s="34"/>
      <c r="AA55" s="34"/>
      <c r="AB55" s="35">
        <f>4000</f>
        <v>4000</v>
      </c>
      <c r="AC55" s="35"/>
    </row>
    <row r="56" spans="1:29" s="1" customFormat="1" ht="13.5" customHeight="1">
      <c r="A56" s="31" t="s">
        <v>110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97</v>
      </c>
      <c r="M56" s="32"/>
      <c r="N56" s="32"/>
      <c r="O56" s="32" t="s">
        <v>121</v>
      </c>
      <c r="P56" s="32"/>
      <c r="Q56" s="32"/>
      <c r="R56" s="33" t="s">
        <v>111</v>
      </c>
      <c r="S56" s="33"/>
      <c r="T56" s="34">
        <f>52248</f>
        <v>52248</v>
      </c>
      <c r="U56" s="34"/>
      <c r="V56" s="34"/>
      <c r="W56" s="34">
        <f>24700</f>
        <v>24700</v>
      </c>
      <c r="X56" s="34"/>
      <c r="Y56" s="34"/>
      <c r="Z56" s="34"/>
      <c r="AA56" s="34"/>
      <c r="AB56" s="35">
        <f>27548</f>
        <v>27548</v>
      </c>
      <c r="AC56" s="35"/>
    </row>
    <row r="57" spans="1:29" s="1" customFormat="1" ht="13.5" customHeight="1">
      <c r="A57" s="31" t="s">
        <v>110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97</v>
      </c>
      <c r="M57" s="32"/>
      <c r="N57" s="32"/>
      <c r="O57" s="32" t="s">
        <v>122</v>
      </c>
      <c r="P57" s="32"/>
      <c r="Q57" s="32"/>
      <c r="R57" s="33" t="s">
        <v>111</v>
      </c>
      <c r="S57" s="33"/>
      <c r="T57" s="34">
        <f>435708</f>
        <v>435708</v>
      </c>
      <c r="U57" s="34"/>
      <c r="V57" s="34"/>
      <c r="W57" s="34">
        <f>296729</f>
        <v>296729</v>
      </c>
      <c r="X57" s="34"/>
      <c r="Y57" s="34"/>
      <c r="Z57" s="34"/>
      <c r="AA57" s="34"/>
      <c r="AB57" s="35">
        <f>138979</f>
        <v>138979</v>
      </c>
      <c r="AC57" s="35"/>
    </row>
    <row r="58" spans="1:29" s="1" customFormat="1" ht="13.5" customHeight="1">
      <c r="A58" s="31" t="s">
        <v>110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97</v>
      </c>
      <c r="M58" s="32"/>
      <c r="N58" s="32"/>
      <c r="O58" s="32" t="s">
        <v>123</v>
      </c>
      <c r="P58" s="32"/>
      <c r="Q58" s="32"/>
      <c r="R58" s="33" t="s">
        <v>111</v>
      </c>
      <c r="S58" s="33"/>
      <c r="T58" s="34">
        <f>50000</f>
        <v>50000</v>
      </c>
      <c r="U58" s="34"/>
      <c r="V58" s="34"/>
      <c r="W58" s="34">
        <f>7355.6</f>
        <v>7355.6</v>
      </c>
      <c r="X58" s="34"/>
      <c r="Y58" s="34"/>
      <c r="Z58" s="34"/>
      <c r="AA58" s="34"/>
      <c r="AB58" s="35">
        <f>42644.4</f>
        <v>42644.4</v>
      </c>
      <c r="AC58" s="35"/>
    </row>
    <row r="59" spans="1:29" s="1" customFormat="1" ht="24" customHeight="1">
      <c r="A59" s="31" t="s">
        <v>124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97</v>
      </c>
      <c r="M59" s="32"/>
      <c r="N59" s="32"/>
      <c r="O59" s="32" t="s">
        <v>125</v>
      </c>
      <c r="P59" s="32"/>
      <c r="Q59" s="32"/>
      <c r="R59" s="33" t="s">
        <v>126</v>
      </c>
      <c r="S59" s="33"/>
      <c r="T59" s="34">
        <f>6000</f>
        <v>6000</v>
      </c>
      <c r="U59" s="34"/>
      <c r="V59" s="34"/>
      <c r="W59" s="34">
        <f>4119.22</f>
        <v>4119.22</v>
      </c>
      <c r="X59" s="34"/>
      <c r="Y59" s="34"/>
      <c r="Z59" s="34"/>
      <c r="AA59" s="34"/>
      <c r="AB59" s="35">
        <f>1880.78</f>
        <v>1880.78</v>
      </c>
      <c r="AC59" s="35"/>
    </row>
    <row r="60" spans="1:29" s="1" customFormat="1" ht="13.5" customHeight="1">
      <c r="A60" s="31" t="s">
        <v>98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97</v>
      </c>
      <c r="M60" s="32"/>
      <c r="N60" s="32"/>
      <c r="O60" s="32" t="s">
        <v>127</v>
      </c>
      <c r="P60" s="32"/>
      <c r="Q60" s="32"/>
      <c r="R60" s="33" t="s">
        <v>100</v>
      </c>
      <c r="S60" s="33"/>
      <c r="T60" s="34">
        <f>6789579.58</f>
        <v>6789579.58</v>
      </c>
      <c r="U60" s="34"/>
      <c r="V60" s="34"/>
      <c r="W60" s="34">
        <f>4447579.26</f>
        <v>4447579.26</v>
      </c>
      <c r="X60" s="34"/>
      <c r="Y60" s="34"/>
      <c r="Z60" s="34"/>
      <c r="AA60" s="34"/>
      <c r="AB60" s="35">
        <f>2342000.32</f>
        <v>2342000.32</v>
      </c>
      <c r="AC60" s="35"/>
    </row>
    <row r="61" spans="1:29" s="1" customFormat="1" ht="13.5" customHeight="1">
      <c r="A61" s="31" t="s">
        <v>105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97</v>
      </c>
      <c r="M61" s="32"/>
      <c r="N61" s="32"/>
      <c r="O61" s="32" t="s">
        <v>127</v>
      </c>
      <c r="P61" s="32"/>
      <c r="Q61" s="32"/>
      <c r="R61" s="33" t="s">
        <v>106</v>
      </c>
      <c r="S61" s="33"/>
      <c r="T61" s="34">
        <f>10000</f>
        <v>10000</v>
      </c>
      <c r="U61" s="34"/>
      <c r="V61" s="34"/>
      <c r="W61" s="34">
        <f>5437.77</f>
        <v>5437.77</v>
      </c>
      <c r="X61" s="34"/>
      <c r="Y61" s="34"/>
      <c r="Z61" s="34"/>
      <c r="AA61" s="34"/>
      <c r="AB61" s="35">
        <f>4562.23</f>
        <v>4562.23</v>
      </c>
      <c r="AC61" s="35"/>
    </row>
    <row r="62" spans="1:29" s="1" customFormat="1" ht="13.5" customHeight="1">
      <c r="A62" s="31" t="s">
        <v>107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97</v>
      </c>
      <c r="M62" s="32"/>
      <c r="N62" s="32"/>
      <c r="O62" s="32" t="s">
        <v>128</v>
      </c>
      <c r="P62" s="32"/>
      <c r="Q62" s="32"/>
      <c r="R62" s="33" t="s">
        <v>109</v>
      </c>
      <c r="S62" s="33"/>
      <c r="T62" s="34">
        <f>133213</f>
        <v>133213</v>
      </c>
      <c r="U62" s="34"/>
      <c r="V62" s="34"/>
      <c r="W62" s="34">
        <f>73384.4</f>
        <v>73384.4</v>
      </c>
      <c r="X62" s="34"/>
      <c r="Y62" s="34"/>
      <c r="Z62" s="34"/>
      <c r="AA62" s="34"/>
      <c r="AB62" s="35">
        <f>59828.6</f>
        <v>59828.6</v>
      </c>
      <c r="AC62" s="35"/>
    </row>
    <row r="63" spans="1:29" s="1" customFormat="1" ht="13.5" customHeight="1">
      <c r="A63" s="31" t="s">
        <v>110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97</v>
      </c>
      <c r="M63" s="32"/>
      <c r="N63" s="32"/>
      <c r="O63" s="32" t="s">
        <v>128</v>
      </c>
      <c r="P63" s="32"/>
      <c r="Q63" s="32"/>
      <c r="R63" s="33" t="s">
        <v>111</v>
      </c>
      <c r="S63" s="33"/>
      <c r="T63" s="34">
        <f>5194</f>
        <v>5194</v>
      </c>
      <c r="U63" s="34"/>
      <c r="V63" s="34"/>
      <c r="W63" s="34">
        <f>5194</f>
        <v>5194</v>
      </c>
      <c r="X63" s="34"/>
      <c r="Y63" s="34"/>
      <c r="Z63" s="34"/>
      <c r="AA63" s="34"/>
      <c r="AB63" s="35">
        <f>0</f>
        <v>0</v>
      </c>
      <c r="AC63" s="35"/>
    </row>
    <row r="64" spans="1:29" s="1" customFormat="1" ht="13.5" customHeight="1">
      <c r="A64" s="31" t="s">
        <v>101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97</v>
      </c>
      <c r="M64" s="32"/>
      <c r="N64" s="32"/>
      <c r="O64" s="32" t="s">
        <v>129</v>
      </c>
      <c r="P64" s="32"/>
      <c r="Q64" s="32"/>
      <c r="R64" s="33" t="s">
        <v>103</v>
      </c>
      <c r="S64" s="33"/>
      <c r="T64" s="34">
        <f>2050453.03</f>
        <v>2050453.03</v>
      </c>
      <c r="U64" s="34"/>
      <c r="V64" s="34"/>
      <c r="W64" s="34">
        <f>1257987.82</f>
        <v>1257987.82</v>
      </c>
      <c r="X64" s="34"/>
      <c r="Y64" s="34"/>
      <c r="Z64" s="34"/>
      <c r="AA64" s="34"/>
      <c r="AB64" s="35">
        <f>792465.21</f>
        <v>792465.21</v>
      </c>
      <c r="AC64" s="35"/>
    </row>
    <row r="65" spans="1:29" s="1" customFormat="1" ht="13.5" customHeight="1">
      <c r="A65" s="31" t="s">
        <v>130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97</v>
      </c>
      <c r="M65" s="32"/>
      <c r="N65" s="32"/>
      <c r="O65" s="32" t="s">
        <v>131</v>
      </c>
      <c r="P65" s="32"/>
      <c r="Q65" s="32"/>
      <c r="R65" s="33" t="s">
        <v>132</v>
      </c>
      <c r="S65" s="33"/>
      <c r="T65" s="34">
        <f>43000</f>
        <v>43000</v>
      </c>
      <c r="U65" s="34"/>
      <c r="V65" s="34"/>
      <c r="W65" s="34">
        <f>25500</f>
        <v>25500</v>
      </c>
      <c r="X65" s="34"/>
      <c r="Y65" s="34"/>
      <c r="Z65" s="34"/>
      <c r="AA65" s="34"/>
      <c r="AB65" s="35">
        <f>17500</f>
        <v>17500</v>
      </c>
      <c r="AC65" s="35"/>
    </row>
    <row r="66" spans="1:29" s="1" customFormat="1" ht="13.5" customHeight="1">
      <c r="A66" s="31" t="s">
        <v>133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97</v>
      </c>
      <c r="M66" s="32"/>
      <c r="N66" s="32"/>
      <c r="O66" s="32" t="s">
        <v>131</v>
      </c>
      <c r="P66" s="32"/>
      <c r="Q66" s="32"/>
      <c r="R66" s="33" t="s">
        <v>134</v>
      </c>
      <c r="S66" s="33"/>
      <c r="T66" s="34">
        <f>33004.45</f>
        <v>33004.45</v>
      </c>
      <c r="U66" s="34"/>
      <c r="V66" s="34"/>
      <c r="W66" s="34">
        <f>9365.59</f>
        <v>9365.59</v>
      </c>
      <c r="X66" s="34"/>
      <c r="Y66" s="34"/>
      <c r="Z66" s="34"/>
      <c r="AA66" s="34"/>
      <c r="AB66" s="35">
        <f>23638.86</f>
        <v>23638.86</v>
      </c>
      <c r="AC66" s="35"/>
    </row>
    <row r="67" spans="1:29" s="1" customFormat="1" ht="13.5" customHeight="1">
      <c r="A67" s="31" t="s">
        <v>135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97</v>
      </c>
      <c r="M67" s="32"/>
      <c r="N67" s="32"/>
      <c r="O67" s="32" t="s">
        <v>131</v>
      </c>
      <c r="P67" s="32"/>
      <c r="Q67" s="32"/>
      <c r="R67" s="33" t="s">
        <v>136</v>
      </c>
      <c r="S67" s="33"/>
      <c r="T67" s="34">
        <f>35466</f>
        <v>35466</v>
      </c>
      <c r="U67" s="34"/>
      <c r="V67" s="34"/>
      <c r="W67" s="34">
        <f>35466</f>
        <v>35466</v>
      </c>
      <c r="X67" s="34"/>
      <c r="Y67" s="34"/>
      <c r="Z67" s="34"/>
      <c r="AA67" s="34"/>
      <c r="AB67" s="35">
        <f>0</f>
        <v>0</v>
      </c>
      <c r="AC67" s="35"/>
    </row>
    <row r="68" spans="1:29" s="1" customFormat="1" ht="13.5" customHeight="1">
      <c r="A68" s="31" t="s">
        <v>110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97</v>
      </c>
      <c r="M68" s="32"/>
      <c r="N68" s="32"/>
      <c r="O68" s="32" t="s">
        <v>131</v>
      </c>
      <c r="P68" s="32"/>
      <c r="Q68" s="32"/>
      <c r="R68" s="33" t="s">
        <v>111</v>
      </c>
      <c r="S68" s="33"/>
      <c r="T68" s="34">
        <f>31953</f>
        <v>31953</v>
      </c>
      <c r="U68" s="34"/>
      <c r="V68" s="34"/>
      <c r="W68" s="34">
        <f>23185</f>
        <v>23185</v>
      </c>
      <c r="X68" s="34"/>
      <c r="Y68" s="34"/>
      <c r="Z68" s="34"/>
      <c r="AA68" s="34"/>
      <c r="AB68" s="35">
        <f>8768</f>
        <v>8768</v>
      </c>
      <c r="AC68" s="35"/>
    </row>
    <row r="69" spans="1:29" s="1" customFormat="1" ht="13.5" customHeight="1">
      <c r="A69" s="31" t="s">
        <v>137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97</v>
      </c>
      <c r="M69" s="32"/>
      <c r="N69" s="32"/>
      <c r="O69" s="32" t="s">
        <v>131</v>
      </c>
      <c r="P69" s="32"/>
      <c r="Q69" s="32"/>
      <c r="R69" s="33" t="s">
        <v>138</v>
      </c>
      <c r="S69" s="33"/>
      <c r="T69" s="34">
        <f>1200</f>
        <v>1200</v>
      </c>
      <c r="U69" s="34"/>
      <c r="V69" s="34"/>
      <c r="W69" s="34">
        <f>1200</f>
        <v>1200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24" customHeight="1">
      <c r="A70" s="31" t="s">
        <v>139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97</v>
      </c>
      <c r="M70" s="32"/>
      <c r="N70" s="32"/>
      <c r="O70" s="32" t="s">
        <v>131</v>
      </c>
      <c r="P70" s="32"/>
      <c r="Q70" s="32"/>
      <c r="R70" s="33" t="s">
        <v>140</v>
      </c>
      <c r="S70" s="33"/>
      <c r="T70" s="34">
        <f>3075</f>
        <v>3075</v>
      </c>
      <c r="U70" s="34"/>
      <c r="V70" s="34"/>
      <c r="W70" s="34">
        <f>3075</f>
        <v>3075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13.5" customHeight="1">
      <c r="A71" s="31" t="s">
        <v>141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97</v>
      </c>
      <c r="M71" s="32"/>
      <c r="N71" s="32"/>
      <c r="O71" s="32" t="s">
        <v>131</v>
      </c>
      <c r="P71" s="32"/>
      <c r="Q71" s="32"/>
      <c r="R71" s="33" t="s">
        <v>142</v>
      </c>
      <c r="S71" s="33"/>
      <c r="T71" s="34">
        <f>180000</f>
        <v>180000</v>
      </c>
      <c r="U71" s="34"/>
      <c r="V71" s="34"/>
      <c r="W71" s="34">
        <f>99024.59</f>
        <v>99024.59</v>
      </c>
      <c r="X71" s="34"/>
      <c r="Y71" s="34"/>
      <c r="Z71" s="34"/>
      <c r="AA71" s="34"/>
      <c r="AB71" s="35">
        <f>80975.41</f>
        <v>80975.41</v>
      </c>
      <c r="AC71" s="35"/>
    </row>
    <row r="72" spans="1:29" s="1" customFormat="1" ht="13.5" customHeight="1">
      <c r="A72" s="31" t="s">
        <v>143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97</v>
      </c>
      <c r="M72" s="32"/>
      <c r="N72" s="32"/>
      <c r="O72" s="32" t="s">
        <v>131</v>
      </c>
      <c r="P72" s="32"/>
      <c r="Q72" s="32"/>
      <c r="R72" s="33" t="s">
        <v>144</v>
      </c>
      <c r="S72" s="33"/>
      <c r="T72" s="34">
        <f>6294</f>
        <v>6294</v>
      </c>
      <c r="U72" s="34"/>
      <c r="V72" s="34"/>
      <c r="W72" s="34">
        <f>3520</f>
        <v>3520</v>
      </c>
      <c r="X72" s="34"/>
      <c r="Y72" s="34"/>
      <c r="Z72" s="34"/>
      <c r="AA72" s="34"/>
      <c r="AB72" s="35">
        <f>2774</f>
        <v>2774</v>
      </c>
      <c r="AC72" s="35"/>
    </row>
    <row r="73" spans="1:29" s="1" customFormat="1" ht="13.5" customHeight="1">
      <c r="A73" s="31" t="s">
        <v>145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97</v>
      </c>
      <c r="M73" s="32"/>
      <c r="N73" s="32"/>
      <c r="O73" s="32" t="s">
        <v>131</v>
      </c>
      <c r="P73" s="32"/>
      <c r="Q73" s="32"/>
      <c r="R73" s="33" t="s">
        <v>146</v>
      </c>
      <c r="S73" s="33"/>
      <c r="T73" s="34">
        <f>142800</f>
        <v>142800</v>
      </c>
      <c r="U73" s="34"/>
      <c r="V73" s="34"/>
      <c r="W73" s="34">
        <f>107181</f>
        <v>107181</v>
      </c>
      <c r="X73" s="34"/>
      <c r="Y73" s="34"/>
      <c r="Z73" s="34"/>
      <c r="AA73" s="34"/>
      <c r="AB73" s="35">
        <f>35619</f>
        <v>35619</v>
      </c>
      <c r="AC73" s="35"/>
    </row>
    <row r="74" spans="1:29" s="1" customFormat="1" ht="24" customHeight="1">
      <c r="A74" s="31" t="s">
        <v>124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97</v>
      </c>
      <c r="M74" s="32"/>
      <c r="N74" s="32"/>
      <c r="O74" s="32" t="s">
        <v>131</v>
      </c>
      <c r="P74" s="32"/>
      <c r="Q74" s="32"/>
      <c r="R74" s="33" t="s">
        <v>126</v>
      </c>
      <c r="S74" s="33"/>
      <c r="T74" s="34">
        <f>4000</f>
        <v>4000</v>
      </c>
      <c r="U74" s="34"/>
      <c r="V74" s="34"/>
      <c r="W74" s="36" t="s">
        <v>53</v>
      </c>
      <c r="X74" s="36"/>
      <c r="Y74" s="36"/>
      <c r="Z74" s="36"/>
      <c r="AA74" s="36"/>
      <c r="AB74" s="35">
        <f>4000</f>
        <v>4000</v>
      </c>
      <c r="AC74" s="35"/>
    </row>
    <row r="75" spans="1:29" s="1" customFormat="1" ht="13.5" customHeight="1">
      <c r="A75" s="31" t="s">
        <v>133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97</v>
      </c>
      <c r="M75" s="32"/>
      <c r="N75" s="32"/>
      <c r="O75" s="32" t="s">
        <v>147</v>
      </c>
      <c r="P75" s="32"/>
      <c r="Q75" s="32"/>
      <c r="R75" s="33" t="s">
        <v>134</v>
      </c>
      <c r="S75" s="33"/>
      <c r="T75" s="34">
        <f>330029.5</f>
        <v>330029.5</v>
      </c>
      <c r="U75" s="34"/>
      <c r="V75" s="34"/>
      <c r="W75" s="34">
        <f>205019.11</f>
        <v>205019.11</v>
      </c>
      <c r="X75" s="34"/>
      <c r="Y75" s="34"/>
      <c r="Z75" s="34"/>
      <c r="AA75" s="34"/>
      <c r="AB75" s="35">
        <f>125010.39</f>
        <v>125010.39</v>
      </c>
      <c r="AC75" s="35"/>
    </row>
    <row r="76" spans="1:29" s="1" customFormat="1" ht="13.5" customHeight="1">
      <c r="A76" s="31" t="s">
        <v>130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97</v>
      </c>
      <c r="M76" s="32"/>
      <c r="N76" s="32"/>
      <c r="O76" s="32" t="s">
        <v>148</v>
      </c>
      <c r="P76" s="32"/>
      <c r="Q76" s="32"/>
      <c r="R76" s="33" t="s">
        <v>132</v>
      </c>
      <c r="S76" s="33"/>
      <c r="T76" s="34">
        <f>75000</f>
        <v>75000</v>
      </c>
      <c r="U76" s="34"/>
      <c r="V76" s="34"/>
      <c r="W76" s="34">
        <f>43362.43</f>
        <v>43362.43</v>
      </c>
      <c r="X76" s="34"/>
      <c r="Y76" s="34"/>
      <c r="Z76" s="34"/>
      <c r="AA76" s="34"/>
      <c r="AB76" s="35">
        <f>31637.57</f>
        <v>31637.57</v>
      </c>
      <c r="AC76" s="35"/>
    </row>
    <row r="77" spans="1:29" s="1" customFormat="1" ht="13.5" customHeight="1">
      <c r="A77" s="31" t="s">
        <v>133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97</v>
      </c>
      <c r="M77" s="32"/>
      <c r="N77" s="32"/>
      <c r="O77" s="32" t="s">
        <v>148</v>
      </c>
      <c r="P77" s="32"/>
      <c r="Q77" s="32"/>
      <c r="R77" s="33" t="s">
        <v>134</v>
      </c>
      <c r="S77" s="33"/>
      <c r="T77" s="34">
        <f>6966.05</f>
        <v>6966.05</v>
      </c>
      <c r="U77" s="34"/>
      <c r="V77" s="34"/>
      <c r="W77" s="34">
        <f>4305.01</f>
        <v>4305.01</v>
      </c>
      <c r="X77" s="34"/>
      <c r="Y77" s="34"/>
      <c r="Z77" s="34"/>
      <c r="AA77" s="34"/>
      <c r="AB77" s="35">
        <f>2661.04</f>
        <v>2661.04</v>
      </c>
      <c r="AC77" s="35"/>
    </row>
    <row r="78" spans="1:29" s="1" customFormat="1" ht="13.5" customHeight="1">
      <c r="A78" s="31" t="s">
        <v>110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97</v>
      </c>
      <c r="M78" s="32"/>
      <c r="N78" s="32"/>
      <c r="O78" s="32" t="s">
        <v>148</v>
      </c>
      <c r="P78" s="32"/>
      <c r="Q78" s="32"/>
      <c r="R78" s="33" t="s">
        <v>111</v>
      </c>
      <c r="S78" s="33"/>
      <c r="T78" s="34">
        <f>46544</f>
        <v>46544</v>
      </c>
      <c r="U78" s="34"/>
      <c r="V78" s="34"/>
      <c r="W78" s="34">
        <f>22100</f>
        <v>22100</v>
      </c>
      <c r="X78" s="34"/>
      <c r="Y78" s="34"/>
      <c r="Z78" s="34"/>
      <c r="AA78" s="34"/>
      <c r="AB78" s="35">
        <f>24444</f>
        <v>24444</v>
      </c>
      <c r="AC78" s="35"/>
    </row>
    <row r="79" spans="1:29" s="1" customFormat="1" ht="13.5" customHeight="1">
      <c r="A79" s="31" t="s">
        <v>149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97</v>
      </c>
      <c r="M79" s="32"/>
      <c r="N79" s="32"/>
      <c r="O79" s="32" t="s">
        <v>148</v>
      </c>
      <c r="P79" s="32"/>
      <c r="Q79" s="32"/>
      <c r="R79" s="33" t="s">
        <v>150</v>
      </c>
      <c r="S79" s="33"/>
      <c r="T79" s="34">
        <f>8706</f>
        <v>8706</v>
      </c>
      <c r="U79" s="34"/>
      <c r="V79" s="34"/>
      <c r="W79" s="34">
        <f>4206</f>
        <v>4206</v>
      </c>
      <c r="X79" s="34"/>
      <c r="Y79" s="34"/>
      <c r="Z79" s="34"/>
      <c r="AA79" s="34"/>
      <c r="AB79" s="35">
        <f>4500</f>
        <v>4500</v>
      </c>
      <c r="AC79" s="35"/>
    </row>
    <row r="80" spans="1:29" s="1" customFormat="1" ht="13.5" customHeight="1">
      <c r="A80" s="31" t="s">
        <v>137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97</v>
      </c>
      <c r="M80" s="32"/>
      <c r="N80" s="32"/>
      <c r="O80" s="32" t="s">
        <v>148</v>
      </c>
      <c r="P80" s="32"/>
      <c r="Q80" s="32"/>
      <c r="R80" s="33" t="s">
        <v>138</v>
      </c>
      <c r="S80" s="33"/>
      <c r="T80" s="34">
        <f>3600</f>
        <v>3600</v>
      </c>
      <c r="U80" s="34"/>
      <c r="V80" s="34"/>
      <c r="W80" s="34">
        <f>3600</f>
        <v>3600</v>
      </c>
      <c r="X80" s="34"/>
      <c r="Y80" s="34"/>
      <c r="Z80" s="34"/>
      <c r="AA80" s="34"/>
      <c r="AB80" s="35">
        <f>0</f>
        <v>0</v>
      </c>
      <c r="AC80" s="35"/>
    </row>
    <row r="81" spans="1:29" s="1" customFormat="1" ht="13.5" customHeight="1">
      <c r="A81" s="31" t="s">
        <v>151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97</v>
      </c>
      <c r="M81" s="32"/>
      <c r="N81" s="32"/>
      <c r="O81" s="32" t="s">
        <v>148</v>
      </c>
      <c r="P81" s="32"/>
      <c r="Q81" s="32"/>
      <c r="R81" s="33" t="s">
        <v>152</v>
      </c>
      <c r="S81" s="33"/>
      <c r="T81" s="34">
        <f>64100</f>
        <v>64100</v>
      </c>
      <c r="U81" s="34"/>
      <c r="V81" s="34"/>
      <c r="W81" s="34">
        <f>64100</f>
        <v>64100</v>
      </c>
      <c r="X81" s="34"/>
      <c r="Y81" s="34"/>
      <c r="Z81" s="34"/>
      <c r="AA81" s="34"/>
      <c r="AB81" s="35">
        <f>0</f>
        <v>0</v>
      </c>
      <c r="AC81" s="35"/>
    </row>
    <row r="82" spans="1:29" s="1" customFormat="1" ht="24" customHeight="1">
      <c r="A82" s="31" t="s">
        <v>139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97</v>
      </c>
      <c r="M82" s="32"/>
      <c r="N82" s="32"/>
      <c r="O82" s="32" t="s">
        <v>148</v>
      </c>
      <c r="P82" s="32"/>
      <c r="Q82" s="32"/>
      <c r="R82" s="33" t="s">
        <v>140</v>
      </c>
      <c r="S82" s="33"/>
      <c r="T82" s="34">
        <f>3540</f>
        <v>3540</v>
      </c>
      <c r="U82" s="34"/>
      <c r="V82" s="34"/>
      <c r="W82" s="34">
        <f>3540</f>
        <v>3540</v>
      </c>
      <c r="X82" s="34"/>
      <c r="Y82" s="34"/>
      <c r="Z82" s="34"/>
      <c r="AA82" s="34"/>
      <c r="AB82" s="35">
        <f>0</f>
        <v>0</v>
      </c>
      <c r="AC82" s="35"/>
    </row>
    <row r="83" spans="1:29" s="1" customFormat="1" ht="13.5" customHeight="1">
      <c r="A83" s="31" t="s">
        <v>145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97</v>
      </c>
      <c r="M83" s="32"/>
      <c r="N83" s="32"/>
      <c r="O83" s="32" t="s">
        <v>148</v>
      </c>
      <c r="P83" s="32"/>
      <c r="Q83" s="32"/>
      <c r="R83" s="33" t="s">
        <v>146</v>
      </c>
      <c r="S83" s="33"/>
      <c r="T83" s="34">
        <f>15057.19</f>
        <v>15057.19</v>
      </c>
      <c r="U83" s="34"/>
      <c r="V83" s="34"/>
      <c r="W83" s="34">
        <f>9975</f>
        <v>9975</v>
      </c>
      <c r="X83" s="34"/>
      <c r="Y83" s="34"/>
      <c r="Z83" s="34"/>
      <c r="AA83" s="34"/>
      <c r="AB83" s="35">
        <f>5082.19</f>
        <v>5082.19</v>
      </c>
      <c r="AC83" s="35"/>
    </row>
    <row r="84" spans="1:29" s="1" customFormat="1" ht="13.5" customHeight="1">
      <c r="A84" s="31" t="s">
        <v>153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97</v>
      </c>
      <c r="M84" s="32"/>
      <c r="N84" s="32"/>
      <c r="O84" s="32" t="s">
        <v>154</v>
      </c>
      <c r="P84" s="32"/>
      <c r="Q84" s="32"/>
      <c r="R84" s="33" t="s">
        <v>155</v>
      </c>
      <c r="S84" s="33"/>
      <c r="T84" s="34">
        <f>7839.6</f>
        <v>7839.6</v>
      </c>
      <c r="U84" s="34"/>
      <c r="V84" s="34"/>
      <c r="W84" s="36" t="s">
        <v>53</v>
      </c>
      <c r="X84" s="36"/>
      <c r="Y84" s="36"/>
      <c r="Z84" s="36"/>
      <c r="AA84" s="36"/>
      <c r="AB84" s="35">
        <f>7839.6</f>
        <v>7839.6</v>
      </c>
      <c r="AC84" s="35"/>
    </row>
    <row r="85" spans="1:29" s="1" customFormat="1" ht="13.5" customHeight="1">
      <c r="A85" s="31" t="s">
        <v>153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97</v>
      </c>
      <c r="M85" s="32"/>
      <c r="N85" s="32"/>
      <c r="O85" s="32" t="s">
        <v>156</v>
      </c>
      <c r="P85" s="32"/>
      <c r="Q85" s="32"/>
      <c r="R85" s="33" t="s">
        <v>155</v>
      </c>
      <c r="S85" s="33"/>
      <c r="T85" s="34">
        <f>2160.4</f>
        <v>2160.4</v>
      </c>
      <c r="U85" s="34"/>
      <c r="V85" s="34"/>
      <c r="W85" s="34">
        <f>2160.4</f>
        <v>2160.4</v>
      </c>
      <c r="X85" s="34"/>
      <c r="Y85" s="34"/>
      <c r="Z85" s="34"/>
      <c r="AA85" s="34"/>
      <c r="AB85" s="35">
        <f>0</f>
        <v>0</v>
      </c>
      <c r="AC85" s="35"/>
    </row>
    <row r="86" spans="1:29" s="1" customFormat="1" ht="13.5" customHeight="1">
      <c r="A86" s="31" t="s">
        <v>157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97</v>
      </c>
      <c r="M86" s="32"/>
      <c r="N86" s="32"/>
      <c r="O86" s="32" t="s">
        <v>158</v>
      </c>
      <c r="P86" s="32"/>
      <c r="Q86" s="32"/>
      <c r="R86" s="33" t="s">
        <v>159</v>
      </c>
      <c r="S86" s="33"/>
      <c r="T86" s="34">
        <f>300000</f>
        <v>300000</v>
      </c>
      <c r="U86" s="34"/>
      <c r="V86" s="34"/>
      <c r="W86" s="34">
        <f>200000</f>
        <v>200000</v>
      </c>
      <c r="X86" s="34"/>
      <c r="Y86" s="34"/>
      <c r="Z86" s="34"/>
      <c r="AA86" s="34"/>
      <c r="AB86" s="35">
        <f>100000</f>
        <v>100000</v>
      </c>
      <c r="AC86" s="35"/>
    </row>
    <row r="87" spans="1:29" s="1" customFormat="1" ht="13.5" customHeight="1">
      <c r="A87" s="31" t="s">
        <v>160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97</v>
      </c>
      <c r="M87" s="32"/>
      <c r="N87" s="32"/>
      <c r="O87" s="32" t="s">
        <v>161</v>
      </c>
      <c r="P87" s="32"/>
      <c r="Q87" s="32"/>
      <c r="R87" s="33" t="s">
        <v>162</v>
      </c>
      <c r="S87" s="33"/>
      <c r="T87" s="34">
        <f>96000</f>
        <v>96000</v>
      </c>
      <c r="U87" s="34"/>
      <c r="V87" s="34"/>
      <c r="W87" s="36" t="s">
        <v>53</v>
      </c>
      <c r="X87" s="36"/>
      <c r="Y87" s="36"/>
      <c r="Z87" s="36"/>
      <c r="AA87" s="36"/>
      <c r="AB87" s="35">
        <f>96000</f>
        <v>96000</v>
      </c>
      <c r="AC87" s="35"/>
    </row>
    <row r="88" spans="1:29" s="1" customFormat="1" ht="13.5" customHeight="1">
      <c r="A88" s="31" t="s">
        <v>98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97</v>
      </c>
      <c r="M88" s="32"/>
      <c r="N88" s="32"/>
      <c r="O88" s="32" t="s">
        <v>163</v>
      </c>
      <c r="P88" s="32"/>
      <c r="Q88" s="32"/>
      <c r="R88" s="33" t="s">
        <v>100</v>
      </c>
      <c r="S88" s="33"/>
      <c r="T88" s="34">
        <f>355218.13</f>
        <v>355218.13</v>
      </c>
      <c r="U88" s="34"/>
      <c r="V88" s="34"/>
      <c r="W88" s="34">
        <f>208622.41</f>
        <v>208622.41</v>
      </c>
      <c r="X88" s="34"/>
      <c r="Y88" s="34"/>
      <c r="Z88" s="34"/>
      <c r="AA88" s="34"/>
      <c r="AB88" s="35">
        <f>146595.72</f>
        <v>146595.72</v>
      </c>
      <c r="AC88" s="35"/>
    </row>
    <row r="89" spans="1:29" s="1" customFormat="1" ht="13.5" customHeight="1">
      <c r="A89" s="31" t="s">
        <v>164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97</v>
      </c>
      <c r="M89" s="32"/>
      <c r="N89" s="32"/>
      <c r="O89" s="32" t="s">
        <v>165</v>
      </c>
      <c r="P89" s="32"/>
      <c r="Q89" s="32"/>
      <c r="R89" s="33" t="s">
        <v>166</v>
      </c>
      <c r="S89" s="33"/>
      <c r="T89" s="34">
        <f>1000</f>
        <v>1000</v>
      </c>
      <c r="U89" s="34"/>
      <c r="V89" s="34"/>
      <c r="W89" s="36" t="s">
        <v>53</v>
      </c>
      <c r="X89" s="36"/>
      <c r="Y89" s="36"/>
      <c r="Z89" s="36"/>
      <c r="AA89" s="36"/>
      <c r="AB89" s="35">
        <f>1000</f>
        <v>1000</v>
      </c>
      <c r="AC89" s="35"/>
    </row>
    <row r="90" spans="1:29" s="1" customFormat="1" ht="13.5" customHeight="1">
      <c r="A90" s="31" t="s">
        <v>110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97</v>
      </c>
      <c r="M90" s="32"/>
      <c r="N90" s="32"/>
      <c r="O90" s="32" t="s">
        <v>165</v>
      </c>
      <c r="P90" s="32"/>
      <c r="Q90" s="32"/>
      <c r="R90" s="33" t="s">
        <v>111</v>
      </c>
      <c r="S90" s="33"/>
      <c r="T90" s="34">
        <f>2000</f>
        <v>2000</v>
      </c>
      <c r="U90" s="34"/>
      <c r="V90" s="34"/>
      <c r="W90" s="34">
        <f>1502</f>
        <v>1502</v>
      </c>
      <c r="X90" s="34"/>
      <c r="Y90" s="34"/>
      <c r="Z90" s="34"/>
      <c r="AA90" s="34"/>
      <c r="AB90" s="35">
        <f>498</f>
        <v>498</v>
      </c>
      <c r="AC90" s="35"/>
    </row>
    <row r="91" spans="1:29" s="1" customFormat="1" ht="13.5" customHeight="1">
      <c r="A91" s="31" t="s">
        <v>101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97</v>
      </c>
      <c r="M91" s="32"/>
      <c r="N91" s="32"/>
      <c r="O91" s="32" t="s">
        <v>167</v>
      </c>
      <c r="P91" s="32"/>
      <c r="Q91" s="32"/>
      <c r="R91" s="33" t="s">
        <v>103</v>
      </c>
      <c r="S91" s="33"/>
      <c r="T91" s="34">
        <f>108181.87</f>
        <v>108181.87</v>
      </c>
      <c r="U91" s="34"/>
      <c r="V91" s="34"/>
      <c r="W91" s="34">
        <f>53742.55</f>
        <v>53742.55</v>
      </c>
      <c r="X91" s="34"/>
      <c r="Y91" s="34"/>
      <c r="Z91" s="34"/>
      <c r="AA91" s="34"/>
      <c r="AB91" s="35">
        <f>54439.32</f>
        <v>54439.32</v>
      </c>
      <c r="AC91" s="35"/>
    </row>
    <row r="92" spans="1:29" s="1" customFormat="1" ht="13.5" customHeight="1">
      <c r="A92" s="31" t="s">
        <v>98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97</v>
      </c>
      <c r="M92" s="32"/>
      <c r="N92" s="32"/>
      <c r="O92" s="32" t="s">
        <v>168</v>
      </c>
      <c r="P92" s="32"/>
      <c r="Q92" s="32"/>
      <c r="R92" s="33" t="s">
        <v>100</v>
      </c>
      <c r="S92" s="33"/>
      <c r="T92" s="34">
        <f>49751.09</f>
        <v>49751.09</v>
      </c>
      <c r="U92" s="34"/>
      <c r="V92" s="34"/>
      <c r="W92" s="34">
        <f>36260.52</f>
        <v>36260.52</v>
      </c>
      <c r="X92" s="34"/>
      <c r="Y92" s="34"/>
      <c r="Z92" s="34"/>
      <c r="AA92" s="34"/>
      <c r="AB92" s="35">
        <f>13490.57</f>
        <v>13490.57</v>
      </c>
      <c r="AC92" s="35"/>
    </row>
    <row r="93" spans="1:29" s="1" customFormat="1" ht="13.5" customHeight="1">
      <c r="A93" s="31" t="s">
        <v>101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97</v>
      </c>
      <c r="M93" s="32"/>
      <c r="N93" s="32"/>
      <c r="O93" s="32" t="s">
        <v>169</v>
      </c>
      <c r="P93" s="32"/>
      <c r="Q93" s="32"/>
      <c r="R93" s="33" t="s">
        <v>103</v>
      </c>
      <c r="S93" s="33"/>
      <c r="T93" s="34">
        <f>15024.83</f>
        <v>15024.83</v>
      </c>
      <c r="U93" s="34"/>
      <c r="V93" s="34"/>
      <c r="W93" s="34">
        <f>7300.46</f>
        <v>7300.46</v>
      </c>
      <c r="X93" s="34"/>
      <c r="Y93" s="34"/>
      <c r="Z93" s="34"/>
      <c r="AA93" s="34"/>
      <c r="AB93" s="35">
        <f>7724.37</f>
        <v>7724.37</v>
      </c>
      <c r="AC93" s="35"/>
    </row>
    <row r="94" spans="1:29" s="1" customFormat="1" ht="13.5" customHeight="1">
      <c r="A94" s="31" t="s">
        <v>98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97</v>
      </c>
      <c r="M94" s="32"/>
      <c r="N94" s="32"/>
      <c r="O94" s="32" t="s">
        <v>170</v>
      </c>
      <c r="P94" s="32"/>
      <c r="Q94" s="32"/>
      <c r="R94" s="33" t="s">
        <v>100</v>
      </c>
      <c r="S94" s="33"/>
      <c r="T94" s="34">
        <f>15072.23</f>
        <v>15072.23</v>
      </c>
      <c r="U94" s="34"/>
      <c r="V94" s="34"/>
      <c r="W94" s="34">
        <f>8178.71</f>
        <v>8178.71</v>
      </c>
      <c r="X94" s="34"/>
      <c r="Y94" s="34"/>
      <c r="Z94" s="34"/>
      <c r="AA94" s="34"/>
      <c r="AB94" s="35">
        <f>6893.52</f>
        <v>6893.52</v>
      </c>
      <c r="AC94" s="35"/>
    </row>
    <row r="95" spans="1:29" s="1" customFormat="1" ht="13.5" customHeight="1">
      <c r="A95" s="31" t="s">
        <v>101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97</v>
      </c>
      <c r="M95" s="32"/>
      <c r="N95" s="32"/>
      <c r="O95" s="32" t="s">
        <v>171</v>
      </c>
      <c r="P95" s="32"/>
      <c r="Q95" s="32"/>
      <c r="R95" s="33" t="s">
        <v>103</v>
      </c>
      <c r="S95" s="33"/>
      <c r="T95" s="34">
        <f>4551.79</f>
        <v>4551.79</v>
      </c>
      <c r="U95" s="34"/>
      <c r="V95" s="34"/>
      <c r="W95" s="34">
        <f>3279.11</f>
        <v>3279.11</v>
      </c>
      <c r="X95" s="34"/>
      <c r="Y95" s="34"/>
      <c r="Z95" s="34"/>
      <c r="AA95" s="34"/>
      <c r="AB95" s="35">
        <f>1272.68</f>
        <v>1272.68</v>
      </c>
      <c r="AC95" s="35"/>
    </row>
    <row r="96" spans="1:29" s="1" customFormat="1" ht="24" customHeight="1">
      <c r="A96" s="31" t="s">
        <v>124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97</v>
      </c>
      <c r="M96" s="32"/>
      <c r="N96" s="32"/>
      <c r="O96" s="32" t="s">
        <v>172</v>
      </c>
      <c r="P96" s="32"/>
      <c r="Q96" s="32"/>
      <c r="R96" s="33" t="s">
        <v>126</v>
      </c>
      <c r="S96" s="33"/>
      <c r="T96" s="34">
        <f>10000</f>
        <v>10000</v>
      </c>
      <c r="U96" s="34"/>
      <c r="V96" s="34"/>
      <c r="W96" s="34">
        <f>7109.38</f>
        <v>7109.38</v>
      </c>
      <c r="X96" s="34"/>
      <c r="Y96" s="34"/>
      <c r="Z96" s="34"/>
      <c r="AA96" s="34"/>
      <c r="AB96" s="35">
        <f>2890.62</f>
        <v>2890.62</v>
      </c>
      <c r="AC96" s="35"/>
    </row>
    <row r="97" spans="1:29" s="1" customFormat="1" ht="24" customHeight="1">
      <c r="A97" s="31" t="s">
        <v>124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97</v>
      </c>
      <c r="M97" s="32"/>
      <c r="N97" s="32"/>
      <c r="O97" s="32" t="s">
        <v>173</v>
      </c>
      <c r="P97" s="32"/>
      <c r="Q97" s="32"/>
      <c r="R97" s="33" t="s">
        <v>126</v>
      </c>
      <c r="S97" s="33"/>
      <c r="T97" s="34">
        <f>10000</f>
        <v>10000</v>
      </c>
      <c r="U97" s="34"/>
      <c r="V97" s="34"/>
      <c r="W97" s="36" t="s">
        <v>53</v>
      </c>
      <c r="X97" s="36"/>
      <c r="Y97" s="36"/>
      <c r="Z97" s="36"/>
      <c r="AA97" s="36"/>
      <c r="AB97" s="35">
        <f>10000</f>
        <v>10000</v>
      </c>
      <c r="AC97" s="35"/>
    </row>
    <row r="98" spans="1:29" s="1" customFormat="1" ht="13.5" customHeight="1">
      <c r="A98" s="31" t="s">
        <v>110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97</v>
      </c>
      <c r="M98" s="32"/>
      <c r="N98" s="32"/>
      <c r="O98" s="32" t="s">
        <v>174</v>
      </c>
      <c r="P98" s="32"/>
      <c r="Q98" s="32"/>
      <c r="R98" s="33" t="s">
        <v>111</v>
      </c>
      <c r="S98" s="33"/>
      <c r="T98" s="34">
        <f>23660</f>
        <v>23660</v>
      </c>
      <c r="U98" s="34"/>
      <c r="V98" s="34"/>
      <c r="W98" s="34">
        <f>11920</f>
        <v>11920</v>
      </c>
      <c r="X98" s="34"/>
      <c r="Y98" s="34"/>
      <c r="Z98" s="34"/>
      <c r="AA98" s="34"/>
      <c r="AB98" s="35">
        <f>11740</f>
        <v>11740</v>
      </c>
      <c r="AC98" s="35"/>
    </row>
    <row r="99" spans="1:29" s="1" customFormat="1" ht="13.5" customHeight="1">
      <c r="A99" s="31" t="s">
        <v>110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97</v>
      </c>
      <c r="M99" s="32"/>
      <c r="N99" s="32"/>
      <c r="O99" s="32" t="s">
        <v>175</v>
      </c>
      <c r="P99" s="32"/>
      <c r="Q99" s="32"/>
      <c r="R99" s="33" t="s">
        <v>111</v>
      </c>
      <c r="S99" s="33"/>
      <c r="T99" s="34">
        <f>5915</f>
        <v>5915</v>
      </c>
      <c r="U99" s="34"/>
      <c r="V99" s="34"/>
      <c r="W99" s="34">
        <f>2980</f>
        <v>2980</v>
      </c>
      <c r="X99" s="34"/>
      <c r="Y99" s="34"/>
      <c r="Z99" s="34"/>
      <c r="AA99" s="34"/>
      <c r="AB99" s="35">
        <f>2935</f>
        <v>2935</v>
      </c>
      <c r="AC99" s="35"/>
    </row>
    <row r="100" spans="1:29" s="1" customFormat="1" ht="13.5" customHeight="1">
      <c r="A100" s="31" t="s">
        <v>98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97</v>
      </c>
      <c r="M100" s="32"/>
      <c r="N100" s="32"/>
      <c r="O100" s="32" t="s">
        <v>176</v>
      </c>
      <c r="P100" s="32"/>
      <c r="Q100" s="32"/>
      <c r="R100" s="33" t="s">
        <v>100</v>
      </c>
      <c r="S100" s="33"/>
      <c r="T100" s="34">
        <f>783007.31</f>
        <v>783007.31</v>
      </c>
      <c r="U100" s="34"/>
      <c r="V100" s="34"/>
      <c r="W100" s="34">
        <f>218589.15</f>
        <v>218589.15</v>
      </c>
      <c r="X100" s="34"/>
      <c r="Y100" s="34"/>
      <c r="Z100" s="34"/>
      <c r="AA100" s="34"/>
      <c r="AB100" s="35">
        <f>564418.16</f>
        <v>564418.16</v>
      </c>
      <c r="AC100" s="35"/>
    </row>
    <row r="101" spans="1:29" s="1" customFormat="1" ht="13.5" customHeight="1">
      <c r="A101" s="31" t="s">
        <v>101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97</v>
      </c>
      <c r="M101" s="32"/>
      <c r="N101" s="32"/>
      <c r="O101" s="32" t="s">
        <v>177</v>
      </c>
      <c r="P101" s="32"/>
      <c r="Q101" s="32"/>
      <c r="R101" s="33" t="s">
        <v>103</v>
      </c>
      <c r="S101" s="33"/>
      <c r="T101" s="34">
        <f>237273.08</f>
        <v>237273.08</v>
      </c>
      <c r="U101" s="34"/>
      <c r="V101" s="34"/>
      <c r="W101" s="34">
        <f>60857.09</f>
        <v>60857.09</v>
      </c>
      <c r="X101" s="34"/>
      <c r="Y101" s="34"/>
      <c r="Z101" s="34"/>
      <c r="AA101" s="34"/>
      <c r="AB101" s="35">
        <f>176415.99</f>
        <v>176415.99</v>
      </c>
      <c r="AC101" s="35"/>
    </row>
    <row r="102" spans="1:29" s="1" customFormat="1" ht="13.5" customHeight="1">
      <c r="A102" s="31" t="s">
        <v>98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97</v>
      </c>
      <c r="M102" s="32"/>
      <c r="N102" s="32"/>
      <c r="O102" s="32" t="s">
        <v>178</v>
      </c>
      <c r="P102" s="32"/>
      <c r="Q102" s="32"/>
      <c r="R102" s="33" t="s">
        <v>100</v>
      </c>
      <c r="S102" s="33"/>
      <c r="T102" s="34">
        <f>1348562.38</f>
        <v>1348562.38</v>
      </c>
      <c r="U102" s="34"/>
      <c r="V102" s="34"/>
      <c r="W102" s="34">
        <f>598483.84</f>
        <v>598483.84</v>
      </c>
      <c r="X102" s="34"/>
      <c r="Y102" s="34"/>
      <c r="Z102" s="34"/>
      <c r="AA102" s="34"/>
      <c r="AB102" s="35">
        <f>750078.54</f>
        <v>750078.54</v>
      </c>
      <c r="AC102" s="35"/>
    </row>
    <row r="103" spans="1:29" s="1" customFormat="1" ht="13.5" customHeight="1">
      <c r="A103" s="31" t="s">
        <v>101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97</v>
      </c>
      <c r="M103" s="32"/>
      <c r="N103" s="32"/>
      <c r="O103" s="32" t="s">
        <v>179</v>
      </c>
      <c r="P103" s="32"/>
      <c r="Q103" s="32"/>
      <c r="R103" s="33" t="s">
        <v>103</v>
      </c>
      <c r="S103" s="33"/>
      <c r="T103" s="34">
        <f>407265.62</f>
        <v>407265.62</v>
      </c>
      <c r="U103" s="34"/>
      <c r="V103" s="34"/>
      <c r="W103" s="34">
        <f>201250.72</f>
        <v>201250.72</v>
      </c>
      <c r="X103" s="34"/>
      <c r="Y103" s="34"/>
      <c r="Z103" s="34"/>
      <c r="AA103" s="34"/>
      <c r="AB103" s="35">
        <f>206014.9</f>
        <v>206014.9</v>
      </c>
      <c r="AC103" s="35"/>
    </row>
    <row r="104" spans="1:29" s="1" customFormat="1" ht="13.5" customHeight="1">
      <c r="A104" s="31" t="s">
        <v>98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97</v>
      </c>
      <c r="M104" s="32"/>
      <c r="N104" s="32"/>
      <c r="O104" s="32" t="s">
        <v>180</v>
      </c>
      <c r="P104" s="32"/>
      <c r="Q104" s="32"/>
      <c r="R104" s="33" t="s">
        <v>100</v>
      </c>
      <c r="S104" s="33"/>
      <c r="T104" s="34">
        <f>151.12</f>
        <v>151.12</v>
      </c>
      <c r="U104" s="34"/>
      <c r="V104" s="34"/>
      <c r="W104" s="36" t="s">
        <v>53</v>
      </c>
      <c r="X104" s="36"/>
      <c r="Y104" s="36"/>
      <c r="Z104" s="36"/>
      <c r="AA104" s="36"/>
      <c r="AB104" s="35">
        <f>151.12</f>
        <v>151.12</v>
      </c>
      <c r="AC104" s="35"/>
    </row>
    <row r="105" spans="1:29" s="1" customFormat="1" ht="13.5" customHeight="1">
      <c r="A105" s="31" t="s">
        <v>101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97</v>
      </c>
      <c r="M105" s="32"/>
      <c r="N105" s="32"/>
      <c r="O105" s="32" t="s">
        <v>181</v>
      </c>
      <c r="P105" s="32"/>
      <c r="Q105" s="32"/>
      <c r="R105" s="33" t="s">
        <v>103</v>
      </c>
      <c r="S105" s="33"/>
      <c r="T105" s="34">
        <f>45.64</f>
        <v>45.64</v>
      </c>
      <c r="U105" s="34"/>
      <c r="V105" s="34"/>
      <c r="W105" s="36" t="s">
        <v>53</v>
      </c>
      <c r="X105" s="36"/>
      <c r="Y105" s="36"/>
      <c r="Z105" s="36"/>
      <c r="AA105" s="36"/>
      <c r="AB105" s="35">
        <f>45.64</f>
        <v>45.64</v>
      </c>
      <c r="AC105" s="35"/>
    </row>
    <row r="106" spans="1:29" s="1" customFormat="1" ht="13.5" customHeight="1">
      <c r="A106" s="31" t="s">
        <v>110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97</v>
      </c>
      <c r="M106" s="32"/>
      <c r="N106" s="32"/>
      <c r="O106" s="32" t="s">
        <v>182</v>
      </c>
      <c r="P106" s="32"/>
      <c r="Q106" s="32"/>
      <c r="R106" s="33" t="s">
        <v>111</v>
      </c>
      <c r="S106" s="33"/>
      <c r="T106" s="34">
        <f>19488.95</f>
        <v>19488.95</v>
      </c>
      <c r="U106" s="34"/>
      <c r="V106" s="34"/>
      <c r="W106" s="36" t="s">
        <v>53</v>
      </c>
      <c r="X106" s="36"/>
      <c r="Y106" s="36"/>
      <c r="Z106" s="36"/>
      <c r="AA106" s="36"/>
      <c r="AB106" s="35">
        <f>19488.95</f>
        <v>19488.95</v>
      </c>
      <c r="AC106" s="35"/>
    </row>
    <row r="107" spans="1:29" s="1" customFormat="1" ht="13.5" customHeight="1">
      <c r="A107" s="31" t="s">
        <v>110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97</v>
      </c>
      <c r="M107" s="32"/>
      <c r="N107" s="32"/>
      <c r="O107" s="32" t="s">
        <v>183</v>
      </c>
      <c r="P107" s="32"/>
      <c r="Q107" s="32"/>
      <c r="R107" s="33" t="s">
        <v>111</v>
      </c>
      <c r="S107" s="33"/>
      <c r="T107" s="34">
        <f>10511.05</f>
        <v>10511.05</v>
      </c>
      <c r="U107" s="34"/>
      <c r="V107" s="34"/>
      <c r="W107" s="36" t="s">
        <v>53</v>
      </c>
      <c r="X107" s="36"/>
      <c r="Y107" s="36"/>
      <c r="Z107" s="36"/>
      <c r="AA107" s="36"/>
      <c r="AB107" s="35">
        <f>10511.05</f>
        <v>10511.05</v>
      </c>
      <c r="AC107" s="35"/>
    </row>
    <row r="108" spans="1:29" s="1" customFormat="1" ht="13.5" customHeight="1">
      <c r="A108" s="31" t="s">
        <v>135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97</v>
      </c>
      <c r="M108" s="32"/>
      <c r="N108" s="32"/>
      <c r="O108" s="32" t="s">
        <v>184</v>
      </c>
      <c r="P108" s="32"/>
      <c r="Q108" s="32"/>
      <c r="R108" s="33" t="s">
        <v>136</v>
      </c>
      <c r="S108" s="33"/>
      <c r="T108" s="34">
        <f>1200000</f>
        <v>1200000</v>
      </c>
      <c r="U108" s="34"/>
      <c r="V108" s="34"/>
      <c r="W108" s="34">
        <f>744189.85</f>
        <v>744189.85</v>
      </c>
      <c r="X108" s="34"/>
      <c r="Y108" s="34"/>
      <c r="Z108" s="34"/>
      <c r="AA108" s="34"/>
      <c r="AB108" s="35">
        <f>455810.15</f>
        <v>455810.15</v>
      </c>
      <c r="AC108" s="35"/>
    </row>
    <row r="109" spans="1:29" s="1" customFormat="1" ht="13.5" customHeight="1">
      <c r="A109" s="31" t="s">
        <v>135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97</v>
      </c>
      <c r="M109" s="32"/>
      <c r="N109" s="32"/>
      <c r="O109" s="32" t="s">
        <v>185</v>
      </c>
      <c r="P109" s="32"/>
      <c r="Q109" s="32"/>
      <c r="R109" s="33" t="s">
        <v>136</v>
      </c>
      <c r="S109" s="33"/>
      <c r="T109" s="34">
        <f>750000</f>
        <v>750000</v>
      </c>
      <c r="U109" s="34"/>
      <c r="V109" s="34"/>
      <c r="W109" s="34">
        <f>382838.62</f>
        <v>382838.62</v>
      </c>
      <c r="X109" s="34"/>
      <c r="Y109" s="34"/>
      <c r="Z109" s="34"/>
      <c r="AA109" s="34"/>
      <c r="AB109" s="35">
        <f>367161.38</f>
        <v>367161.38</v>
      </c>
      <c r="AC109" s="35"/>
    </row>
    <row r="110" spans="1:29" s="1" customFormat="1" ht="13.5" customHeight="1">
      <c r="A110" s="31" t="s">
        <v>137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97</v>
      </c>
      <c r="M110" s="32"/>
      <c r="N110" s="32"/>
      <c r="O110" s="32" t="s">
        <v>186</v>
      </c>
      <c r="P110" s="32"/>
      <c r="Q110" s="32"/>
      <c r="R110" s="33" t="s">
        <v>138</v>
      </c>
      <c r="S110" s="33"/>
      <c r="T110" s="34">
        <f>828486.14</f>
        <v>828486.14</v>
      </c>
      <c r="U110" s="34"/>
      <c r="V110" s="34"/>
      <c r="W110" s="34">
        <f>828486.14</f>
        <v>828486.14</v>
      </c>
      <c r="X110" s="34"/>
      <c r="Y110" s="34"/>
      <c r="Z110" s="34"/>
      <c r="AA110" s="34"/>
      <c r="AB110" s="35">
        <f>0</f>
        <v>0</v>
      </c>
      <c r="AC110" s="35"/>
    </row>
    <row r="111" spans="1:29" s="1" customFormat="1" ht="13.5" customHeight="1">
      <c r="A111" s="31" t="s">
        <v>145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97</v>
      </c>
      <c r="M111" s="32"/>
      <c r="N111" s="32"/>
      <c r="O111" s="32" t="s">
        <v>186</v>
      </c>
      <c r="P111" s="32"/>
      <c r="Q111" s="32"/>
      <c r="R111" s="33" t="s">
        <v>146</v>
      </c>
      <c r="S111" s="33"/>
      <c r="T111" s="34">
        <f>421300</f>
        <v>421300</v>
      </c>
      <c r="U111" s="34"/>
      <c r="V111" s="34"/>
      <c r="W111" s="34">
        <f>421300</f>
        <v>421300</v>
      </c>
      <c r="X111" s="34"/>
      <c r="Y111" s="34"/>
      <c r="Z111" s="34"/>
      <c r="AA111" s="34"/>
      <c r="AB111" s="35">
        <f>0</f>
        <v>0</v>
      </c>
      <c r="AC111" s="35"/>
    </row>
    <row r="112" spans="1:29" s="1" customFormat="1" ht="13.5" customHeight="1">
      <c r="A112" s="31" t="s">
        <v>133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97</v>
      </c>
      <c r="M112" s="32"/>
      <c r="N112" s="32"/>
      <c r="O112" s="32" t="s">
        <v>187</v>
      </c>
      <c r="P112" s="32"/>
      <c r="Q112" s="32"/>
      <c r="R112" s="33" t="s">
        <v>134</v>
      </c>
      <c r="S112" s="33"/>
      <c r="T112" s="34">
        <f>1240054.69</f>
        <v>1240054.69</v>
      </c>
      <c r="U112" s="34"/>
      <c r="V112" s="34"/>
      <c r="W112" s="34">
        <f>715224.1</f>
        <v>715224.1</v>
      </c>
      <c r="X112" s="34"/>
      <c r="Y112" s="34"/>
      <c r="Z112" s="34"/>
      <c r="AA112" s="34"/>
      <c r="AB112" s="35">
        <f>524830.59</f>
        <v>524830.59</v>
      </c>
      <c r="AC112" s="35"/>
    </row>
    <row r="113" spans="1:29" s="1" customFormat="1" ht="13.5" customHeight="1">
      <c r="A113" s="31" t="s">
        <v>135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97</v>
      </c>
      <c r="M113" s="32"/>
      <c r="N113" s="32"/>
      <c r="O113" s="32" t="s">
        <v>188</v>
      </c>
      <c r="P113" s="32"/>
      <c r="Q113" s="32"/>
      <c r="R113" s="33" t="s">
        <v>136</v>
      </c>
      <c r="S113" s="33"/>
      <c r="T113" s="34">
        <f>381834</f>
        <v>381834</v>
      </c>
      <c r="U113" s="34"/>
      <c r="V113" s="34"/>
      <c r="W113" s="36" t="s">
        <v>53</v>
      </c>
      <c r="X113" s="36"/>
      <c r="Y113" s="36"/>
      <c r="Z113" s="36"/>
      <c r="AA113" s="36"/>
      <c r="AB113" s="35">
        <f>381834</f>
        <v>381834</v>
      </c>
      <c r="AC113" s="35"/>
    </row>
    <row r="114" spans="1:29" s="1" customFormat="1" ht="13.5" customHeight="1">
      <c r="A114" s="31" t="s">
        <v>143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97</v>
      </c>
      <c r="M114" s="32"/>
      <c r="N114" s="32"/>
      <c r="O114" s="32" t="s">
        <v>188</v>
      </c>
      <c r="P114" s="32"/>
      <c r="Q114" s="32"/>
      <c r="R114" s="33" t="s">
        <v>144</v>
      </c>
      <c r="S114" s="33"/>
      <c r="T114" s="34">
        <f>618166</f>
        <v>618166</v>
      </c>
      <c r="U114" s="34"/>
      <c r="V114" s="34"/>
      <c r="W114" s="36" t="s">
        <v>53</v>
      </c>
      <c r="X114" s="36"/>
      <c r="Y114" s="36"/>
      <c r="Z114" s="36"/>
      <c r="AA114" s="36"/>
      <c r="AB114" s="35">
        <f>618166</f>
        <v>618166</v>
      </c>
      <c r="AC114" s="35"/>
    </row>
    <row r="115" spans="1:29" s="1" customFormat="1" ht="13.5" customHeight="1">
      <c r="A115" s="31" t="s">
        <v>135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97</v>
      </c>
      <c r="M115" s="32"/>
      <c r="N115" s="32"/>
      <c r="O115" s="32" t="s">
        <v>189</v>
      </c>
      <c r="P115" s="32"/>
      <c r="Q115" s="32"/>
      <c r="R115" s="33" t="s">
        <v>136</v>
      </c>
      <c r="S115" s="33"/>
      <c r="T115" s="34">
        <f>200000</f>
        <v>200000</v>
      </c>
      <c r="U115" s="34"/>
      <c r="V115" s="34"/>
      <c r="W115" s="36" t="s">
        <v>53</v>
      </c>
      <c r="X115" s="36"/>
      <c r="Y115" s="36"/>
      <c r="Z115" s="36"/>
      <c r="AA115" s="36"/>
      <c r="AB115" s="35">
        <f>200000</f>
        <v>200000</v>
      </c>
      <c r="AC115" s="35"/>
    </row>
    <row r="116" spans="1:29" s="1" customFormat="1" ht="13.5" customHeight="1">
      <c r="A116" s="31" t="s">
        <v>143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97</v>
      </c>
      <c r="M116" s="32"/>
      <c r="N116" s="32"/>
      <c r="O116" s="32" t="s">
        <v>189</v>
      </c>
      <c r="P116" s="32"/>
      <c r="Q116" s="32"/>
      <c r="R116" s="33" t="s">
        <v>144</v>
      </c>
      <c r="S116" s="33"/>
      <c r="T116" s="34">
        <f>434325.4</f>
        <v>434325.4</v>
      </c>
      <c r="U116" s="34"/>
      <c r="V116" s="34"/>
      <c r="W116" s="34">
        <f>434325.4</f>
        <v>434325.4</v>
      </c>
      <c r="X116" s="34"/>
      <c r="Y116" s="34"/>
      <c r="Z116" s="34"/>
      <c r="AA116" s="34"/>
      <c r="AB116" s="35">
        <f>0</f>
        <v>0</v>
      </c>
      <c r="AC116" s="35"/>
    </row>
    <row r="117" spans="1:29" s="1" customFormat="1" ht="13.5" customHeight="1">
      <c r="A117" s="31" t="s">
        <v>135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97</v>
      </c>
      <c r="M117" s="32"/>
      <c r="N117" s="32"/>
      <c r="O117" s="32" t="s">
        <v>190</v>
      </c>
      <c r="P117" s="32"/>
      <c r="Q117" s="32"/>
      <c r="R117" s="33" t="s">
        <v>136</v>
      </c>
      <c r="S117" s="33"/>
      <c r="T117" s="34">
        <f>3245467</f>
        <v>3245467</v>
      </c>
      <c r="U117" s="34"/>
      <c r="V117" s="34"/>
      <c r="W117" s="34">
        <f>3245467</f>
        <v>3245467</v>
      </c>
      <c r="X117" s="34"/>
      <c r="Y117" s="34"/>
      <c r="Z117" s="34"/>
      <c r="AA117" s="34"/>
      <c r="AB117" s="35">
        <f>0</f>
        <v>0</v>
      </c>
      <c r="AC117" s="35"/>
    </row>
    <row r="118" spans="1:29" s="1" customFormat="1" ht="13.5" customHeight="1">
      <c r="A118" s="31" t="s">
        <v>135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97</v>
      </c>
      <c r="M118" s="32"/>
      <c r="N118" s="32"/>
      <c r="O118" s="32" t="s">
        <v>191</v>
      </c>
      <c r="P118" s="32"/>
      <c r="Q118" s="32"/>
      <c r="R118" s="33" t="s">
        <v>136</v>
      </c>
      <c r="S118" s="33"/>
      <c r="T118" s="34">
        <f>0.2</f>
        <v>0.2</v>
      </c>
      <c r="U118" s="34"/>
      <c r="V118" s="34"/>
      <c r="W118" s="34">
        <f>0.2</f>
        <v>0.2</v>
      </c>
      <c r="X118" s="34"/>
      <c r="Y118" s="34"/>
      <c r="Z118" s="34"/>
      <c r="AA118" s="34"/>
      <c r="AB118" s="35">
        <f>0</f>
        <v>0</v>
      </c>
      <c r="AC118" s="35"/>
    </row>
    <row r="119" spans="1:29" s="1" customFormat="1" ht="13.5" customHeight="1">
      <c r="A119" s="31" t="s">
        <v>143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97</v>
      </c>
      <c r="M119" s="32"/>
      <c r="N119" s="32"/>
      <c r="O119" s="32" t="s">
        <v>191</v>
      </c>
      <c r="P119" s="32"/>
      <c r="Q119" s="32"/>
      <c r="R119" s="33" t="s">
        <v>144</v>
      </c>
      <c r="S119" s="33"/>
      <c r="T119" s="34">
        <f>10000</f>
        <v>10000</v>
      </c>
      <c r="U119" s="34"/>
      <c r="V119" s="34"/>
      <c r="W119" s="34">
        <f>10000</f>
        <v>10000</v>
      </c>
      <c r="X119" s="34"/>
      <c r="Y119" s="34"/>
      <c r="Z119" s="34"/>
      <c r="AA119" s="34"/>
      <c r="AB119" s="35">
        <f>0</f>
        <v>0</v>
      </c>
      <c r="AC119" s="35"/>
    </row>
    <row r="120" spans="1:29" s="1" customFormat="1" ht="13.5" customHeight="1">
      <c r="A120" s="31" t="s">
        <v>110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97</v>
      </c>
      <c r="M120" s="32"/>
      <c r="N120" s="32"/>
      <c r="O120" s="32" t="s">
        <v>192</v>
      </c>
      <c r="P120" s="32"/>
      <c r="Q120" s="32"/>
      <c r="R120" s="33" t="s">
        <v>111</v>
      </c>
      <c r="S120" s="33"/>
      <c r="T120" s="34">
        <f>354700</f>
        <v>354700</v>
      </c>
      <c r="U120" s="34"/>
      <c r="V120" s="34"/>
      <c r="W120" s="34">
        <f>354700</f>
        <v>354700</v>
      </c>
      <c r="X120" s="34"/>
      <c r="Y120" s="34"/>
      <c r="Z120" s="34"/>
      <c r="AA120" s="34"/>
      <c r="AB120" s="35">
        <f>0</f>
        <v>0</v>
      </c>
      <c r="AC120" s="35"/>
    </row>
    <row r="121" spans="1:29" s="1" customFormat="1" ht="13.5" customHeight="1">
      <c r="A121" s="31" t="s">
        <v>135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97</v>
      </c>
      <c r="M121" s="32"/>
      <c r="N121" s="32"/>
      <c r="O121" s="32" t="s">
        <v>193</v>
      </c>
      <c r="P121" s="32"/>
      <c r="Q121" s="32"/>
      <c r="R121" s="33" t="s">
        <v>136</v>
      </c>
      <c r="S121" s="33"/>
      <c r="T121" s="34">
        <f>794998.12</f>
        <v>794998.12</v>
      </c>
      <c r="U121" s="34"/>
      <c r="V121" s="34"/>
      <c r="W121" s="34">
        <f>489158.8</f>
        <v>489158.8</v>
      </c>
      <c r="X121" s="34"/>
      <c r="Y121" s="34"/>
      <c r="Z121" s="34"/>
      <c r="AA121" s="34"/>
      <c r="AB121" s="35">
        <f>305839.32</f>
        <v>305839.32</v>
      </c>
      <c r="AC121" s="35"/>
    </row>
    <row r="122" spans="1:29" s="1" customFormat="1" ht="13.5" customHeight="1">
      <c r="A122" s="31" t="s">
        <v>145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97</v>
      </c>
      <c r="M122" s="32"/>
      <c r="N122" s="32"/>
      <c r="O122" s="32" t="s">
        <v>193</v>
      </c>
      <c r="P122" s="32"/>
      <c r="Q122" s="32"/>
      <c r="R122" s="33" t="s">
        <v>146</v>
      </c>
      <c r="S122" s="33"/>
      <c r="T122" s="34">
        <f>130841</f>
        <v>130841</v>
      </c>
      <c r="U122" s="34"/>
      <c r="V122" s="34"/>
      <c r="W122" s="34">
        <f>116627</f>
        <v>116627</v>
      </c>
      <c r="X122" s="34"/>
      <c r="Y122" s="34"/>
      <c r="Z122" s="34"/>
      <c r="AA122" s="34"/>
      <c r="AB122" s="35">
        <f>14214</f>
        <v>14214</v>
      </c>
      <c r="AC122" s="35"/>
    </row>
    <row r="123" spans="1:29" s="1" customFormat="1" ht="24" customHeight="1">
      <c r="A123" s="31" t="s">
        <v>124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97</v>
      </c>
      <c r="M123" s="32"/>
      <c r="N123" s="32"/>
      <c r="O123" s="32" t="s">
        <v>193</v>
      </c>
      <c r="P123" s="32"/>
      <c r="Q123" s="32"/>
      <c r="R123" s="33" t="s">
        <v>126</v>
      </c>
      <c r="S123" s="33"/>
      <c r="T123" s="34">
        <f>9200</f>
        <v>9200</v>
      </c>
      <c r="U123" s="34"/>
      <c r="V123" s="34"/>
      <c r="W123" s="34">
        <f>9200</f>
        <v>9200</v>
      </c>
      <c r="X123" s="34"/>
      <c r="Y123" s="34"/>
      <c r="Z123" s="34"/>
      <c r="AA123" s="34"/>
      <c r="AB123" s="35">
        <f>0</f>
        <v>0</v>
      </c>
      <c r="AC123" s="35"/>
    </row>
    <row r="124" spans="1:29" s="1" customFormat="1" ht="13.5" customHeight="1">
      <c r="A124" s="31" t="s">
        <v>135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97</v>
      </c>
      <c r="M124" s="32"/>
      <c r="N124" s="32"/>
      <c r="O124" s="32" t="s">
        <v>194</v>
      </c>
      <c r="P124" s="32"/>
      <c r="Q124" s="32"/>
      <c r="R124" s="33" t="s">
        <v>136</v>
      </c>
      <c r="S124" s="33"/>
      <c r="T124" s="34">
        <f>100000</f>
        <v>100000</v>
      </c>
      <c r="U124" s="34"/>
      <c r="V124" s="34"/>
      <c r="W124" s="36" t="s">
        <v>53</v>
      </c>
      <c r="X124" s="36"/>
      <c r="Y124" s="36"/>
      <c r="Z124" s="36"/>
      <c r="AA124" s="36"/>
      <c r="AB124" s="35">
        <f>100000</f>
        <v>100000</v>
      </c>
      <c r="AC124" s="35"/>
    </row>
    <row r="125" spans="1:29" s="1" customFormat="1" ht="13.5" customHeight="1">
      <c r="A125" s="31" t="s">
        <v>110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97</v>
      </c>
      <c r="M125" s="32"/>
      <c r="N125" s="32"/>
      <c r="O125" s="32" t="s">
        <v>195</v>
      </c>
      <c r="P125" s="32"/>
      <c r="Q125" s="32"/>
      <c r="R125" s="33" t="s">
        <v>111</v>
      </c>
      <c r="S125" s="33"/>
      <c r="T125" s="34">
        <f>76080</f>
        <v>76080</v>
      </c>
      <c r="U125" s="34"/>
      <c r="V125" s="34"/>
      <c r="W125" s="34">
        <f>64824</f>
        <v>64824</v>
      </c>
      <c r="X125" s="34"/>
      <c r="Y125" s="34"/>
      <c r="Z125" s="34"/>
      <c r="AA125" s="34"/>
      <c r="AB125" s="35">
        <f>11256</f>
        <v>11256</v>
      </c>
      <c r="AC125" s="35"/>
    </row>
    <row r="126" spans="1:29" s="1" customFormat="1" ht="13.5" customHeight="1">
      <c r="A126" s="31" t="s">
        <v>145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97</v>
      </c>
      <c r="M126" s="32"/>
      <c r="N126" s="32"/>
      <c r="O126" s="32" t="s">
        <v>196</v>
      </c>
      <c r="P126" s="32"/>
      <c r="Q126" s="32"/>
      <c r="R126" s="33" t="s">
        <v>146</v>
      </c>
      <c r="S126" s="33"/>
      <c r="T126" s="34">
        <f>2510</f>
        <v>2510</v>
      </c>
      <c r="U126" s="34"/>
      <c r="V126" s="34"/>
      <c r="W126" s="34">
        <f>2510</f>
        <v>2510</v>
      </c>
      <c r="X126" s="34"/>
      <c r="Y126" s="34"/>
      <c r="Z126" s="34"/>
      <c r="AA126" s="34"/>
      <c r="AB126" s="35">
        <f>0</f>
        <v>0</v>
      </c>
      <c r="AC126" s="35"/>
    </row>
    <row r="127" spans="1:29" s="1" customFormat="1" ht="13.5" customHeight="1">
      <c r="A127" s="31" t="s">
        <v>133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97</v>
      </c>
      <c r="M127" s="32"/>
      <c r="N127" s="32"/>
      <c r="O127" s="32" t="s">
        <v>197</v>
      </c>
      <c r="P127" s="32"/>
      <c r="Q127" s="32"/>
      <c r="R127" s="33" t="s">
        <v>134</v>
      </c>
      <c r="S127" s="33"/>
      <c r="T127" s="34">
        <f>350000</f>
        <v>350000</v>
      </c>
      <c r="U127" s="34"/>
      <c r="V127" s="34"/>
      <c r="W127" s="34">
        <f>196662.21</f>
        <v>196662.21</v>
      </c>
      <c r="X127" s="34"/>
      <c r="Y127" s="34"/>
      <c r="Z127" s="34"/>
      <c r="AA127" s="34"/>
      <c r="AB127" s="35">
        <f>153337.79</f>
        <v>153337.79</v>
      </c>
      <c r="AC127" s="35"/>
    </row>
    <row r="128" spans="1:29" s="1" customFormat="1" ht="13.5" customHeight="1">
      <c r="A128" s="31" t="s">
        <v>135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97</v>
      </c>
      <c r="M128" s="32"/>
      <c r="N128" s="32"/>
      <c r="O128" s="32" t="s">
        <v>198</v>
      </c>
      <c r="P128" s="32"/>
      <c r="Q128" s="32"/>
      <c r="R128" s="33" t="s">
        <v>136</v>
      </c>
      <c r="S128" s="33"/>
      <c r="T128" s="34">
        <f>76971</f>
        <v>76971</v>
      </c>
      <c r="U128" s="34"/>
      <c r="V128" s="34"/>
      <c r="W128" s="34">
        <f>52627.64</f>
        <v>52627.64</v>
      </c>
      <c r="X128" s="34"/>
      <c r="Y128" s="34"/>
      <c r="Z128" s="34"/>
      <c r="AA128" s="34"/>
      <c r="AB128" s="35">
        <f>24343.36</f>
        <v>24343.36</v>
      </c>
      <c r="AC128" s="35"/>
    </row>
    <row r="129" spans="1:29" s="1" customFormat="1" ht="13.5" customHeight="1">
      <c r="A129" s="31" t="s">
        <v>110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97</v>
      </c>
      <c r="M129" s="32"/>
      <c r="N129" s="32"/>
      <c r="O129" s="32" t="s">
        <v>199</v>
      </c>
      <c r="P129" s="32"/>
      <c r="Q129" s="32"/>
      <c r="R129" s="33" t="s">
        <v>111</v>
      </c>
      <c r="S129" s="33"/>
      <c r="T129" s="34">
        <f>4770</f>
        <v>4770</v>
      </c>
      <c r="U129" s="34"/>
      <c r="V129" s="34"/>
      <c r="W129" s="34">
        <f>4770</f>
        <v>4770</v>
      </c>
      <c r="X129" s="34"/>
      <c r="Y129" s="34"/>
      <c r="Z129" s="34"/>
      <c r="AA129" s="34"/>
      <c r="AB129" s="35">
        <f>0</f>
        <v>0</v>
      </c>
      <c r="AC129" s="35"/>
    </row>
    <row r="130" spans="1:29" s="1" customFormat="1" ht="13.5" customHeight="1">
      <c r="A130" s="31" t="s">
        <v>135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97</v>
      </c>
      <c r="M130" s="32"/>
      <c r="N130" s="32"/>
      <c r="O130" s="32" t="s">
        <v>200</v>
      </c>
      <c r="P130" s="32"/>
      <c r="Q130" s="32"/>
      <c r="R130" s="33" t="s">
        <v>136</v>
      </c>
      <c r="S130" s="33"/>
      <c r="T130" s="34">
        <f>20000</f>
        <v>20000</v>
      </c>
      <c r="U130" s="34"/>
      <c r="V130" s="34"/>
      <c r="W130" s="36" t="s">
        <v>53</v>
      </c>
      <c r="X130" s="36"/>
      <c r="Y130" s="36"/>
      <c r="Z130" s="36"/>
      <c r="AA130" s="36"/>
      <c r="AB130" s="35">
        <f>20000</f>
        <v>20000</v>
      </c>
      <c r="AC130" s="35"/>
    </row>
    <row r="131" spans="1:29" s="1" customFormat="1" ht="13.5" customHeight="1">
      <c r="A131" s="31" t="s">
        <v>110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97</v>
      </c>
      <c r="M131" s="32"/>
      <c r="N131" s="32"/>
      <c r="O131" s="32" t="s">
        <v>200</v>
      </c>
      <c r="P131" s="32"/>
      <c r="Q131" s="32"/>
      <c r="R131" s="33" t="s">
        <v>111</v>
      </c>
      <c r="S131" s="33"/>
      <c r="T131" s="34">
        <f>66305.54</f>
        <v>66305.54</v>
      </c>
      <c r="U131" s="34"/>
      <c r="V131" s="34"/>
      <c r="W131" s="34">
        <f>45447</f>
        <v>45447</v>
      </c>
      <c r="X131" s="34"/>
      <c r="Y131" s="34"/>
      <c r="Z131" s="34"/>
      <c r="AA131" s="34"/>
      <c r="AB131" s="35">
        <f>20858.54</f>
        <v>20858.54</v>
      </c>
      <c r="AC131" s="35"/>
    </row>
    <row r="132" spans="1:29" s="1" customFormat="1" ht="13.5" customHeight="1">
      <c r="A132" s="31" t="s">
        <v>135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97</v>
      </c>
      <c r="M132" s="32"/>
      <c r="N132" s="32"/>
      <c r="O132" s="32" t="s">
        <v>201</v>
      </c>
      <c r="P132" s="32"/>
      <c r="Q132" s="32"/>
      <c r="R132" s="33" t="s">
        <v>136</v>
      </c>
      <c r="S132" s="33"/>
      <c r="T132" s="34">
        <f>67723.43</f>
        <v>67723.43</v>
      </c>
      <c r="U132" s="34"/>
      <c r="V132" s="34"/>
      <c r="W132" s="36" t="s">
        <v>53</v>
      </c>
      <c r="X132" s="36"/>
      <c r="Y132" s="36"/>
      <c r="Z132" s="36"/>
      <c r="AA132" s="36"/>
      <c r="AB132" s="35">
        <f>67723.43</f>
        <v>67723.43</v>
      </c>
      <c r="AC132" s="35"/>
    </row>
    <row r="133" spans="1:29" s="1" customFormat="1" ht="13.5" customHeight="1">
      <c r="A133" s="31" t="s">
        <v>137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97</v>
      </c>
      <c r="M133" s="32"/>
      <c r="N133" s="32"/>
      <c r="O133" s="32" t="s">
        <v>201</v>
      </c>
      <c r="P133" s="32"/>
      <c r="Q133" s="32"/>
      <c r="R133" s="33" t="s">
        <v>138</v>
      </c>
      <c r="S133" s="33"/>
      <c r="T133" s="34">
        <f>50000</f>
        <v>50000</v>
      </c>
      <c r="U133" s="34"/>
      <c r="V133" s="34"/>
      <c r="W133" s="36" t="s">
        <v>53</v>
      </c>
      <c r="X133" s="36"/>
      <c r="Y133" s="36"/>
      <c r="Z133" s="36"/>
      <c r="AA133" s="36"/>
      <c r="AB133" s="35">
        <f>50000</f>
        <v>50000</v>
      </c>
      <c r="AC133" s="35"/>
    </row>
    <row r="134" spans="1:29" s="1" customFormat="1" ht="13.5" customHeight="1">
      <c r="A134" s="31" t="s">
        <v>145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97</v>
      </c>
      <c r="M134" s="32"/>
      <c r="N134" s="32"/>
      <c r="O134" s="32" t="s">
        <v>201</v>
      </c>
      <c r="P134" s="32"/>
      <c r="Q134" s="32"/>
      <c r="R134" s="33" t="s">
        <v>146</v>
      </c>
      <c r="S134" s="33"/>
      <c r="T134" s="34">
        <f>59860</f>
        <v>59860</v>
      </c>
      <c r="U134" s="34"/>
      <c r="V134" s="34"/>
      <c r="W134" s="34">
        <f>59860</f>
        <v>59860</v>
      </c>
      <c r="X134" s="34"/>
      <c r="Y134" s="34"/>
      <c r="Z134" s="34"/>
      <c r="AA134" s="34"/>
      <c r="AB134" s="35">
        <f>0</f>
        <v>0</v>
      </c>
      <c r="AC134" s="35"/>
    </row>
    <row r="135" spans="1:29" s="1" customFormat="1" ht="13.5" customHeight="1">
      <c r="A135" s="31" t="s">
        <v>160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97</v>
      </c>
      <c r="M135" s="32"/>
      <c r="N135" s="32"/>
      <c r="O135" s="32" t="s">
        <v>202</v>
      </c>
      <c r="P135" s="32"/>
      <c r="Q135" s="32"/>
      <c r="R135" s="33" t="s">
        <v>162</v>
      </c>
      <c r="S135" s="33"/>
      <c r="T135" s="34">
        <f>221068</f>
        <v>221068</v>
      </c>
      <c r="U135" s="34"/>
      <c r="V135" s="34"/>
      <c r="W135" s="34">
        <f>221068</f>
        <v>221068</v>
      </c>
      <c r="X135" s="34"/>
      <c r="Y135" s="34"/>
      <c r="Z135" s="34"/>
      <c r="AA135" s="34"/>
      <c r="AB135" s="35">
        <f>0</f>
        <v>0</v>
      </c>
      <c r="AC135" s="35"/>
    </row>
    <row r="136" spans="1:29" s="1" customFormat="1" ht="13.5" customHeight="1">
      <c r="A136" s="31" t="s">
        <v>145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97</v>
      </c>
      <c r="M136" s="32"/>
      <c r="N136" s="32"/>
      <c r="O136" s="32" t="s">
        <v>203</v>
      </c>
      <c r="P136" s="32"/>
      <c r="Q136" s="32"/>
      <c r="R136" s="33" t="s">
        <v>146</v>
      </c>
      <c r="S136" s="33"/>
      <c r="T136" s="34">
        <f>502065</f>
        <v>502065</v>
      </c>
      <c r="U136" s="34"/>
      <c r="V136" s="34"/>
      <c r="W136" s="34">
        <f>225206</f>
        <v>225206</v>
      </c>
      <c r="X136" s="34"/>
      <c r="Y136" s="34"/>
      <c r="Z136" s="34"/>
      <c r="AA136" s="34"/>
      <c r="AB136" s="35">
        <f>276859</f>
        <v>276859</v>
      </c>
      <c r="AC136" s="35"/>
    </row>
    <row r="137" spans="1:29" s="1" customFormat="1" ht="13.5" customHeight="1">
      <c r="A137" s="31" t="s">
        <v>143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97</v>
      </c>
      <c r="M137" s="32"/>
      <c r="N137" s="32"/>
      <c r="O137" s="32" t="s">
        <v>204</v>
      </c>
      <c r="P137" s="32"/>
      <c r="Q137" s="32"/>
      <c r="R137" s="33" t="s">
        <v>144</v>
      </c>
      <c r="S137" s="33"/>
      <c r="T137" s="34">
        <f>4240</f>
        <v>4240</v>
      </c>
      <c r="U137" s="34"/>
      <c r="V137" s="34"/>
      <c r="W137" s="34">
        <f>4240</f>
        <v>4240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145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97</v>
      </c>
      <c r="M138" s="32"/>
      <c r="N138" s="32"/>
      <c r="O138" s="32" t="s">
        <v>204</v>
      </c>
      <c r="P138" s="32"/>
      <c r="Q138" s="32"/>
      <c r="R138" s="33" t="s">
        <v>146</v>
      </c>
      <c r="S138" s="33"/>
      <c r="T138" s="34">
        <f>7840</f>
        <v>7840</v>
      </c>
      <c r="U138" s="34"/>
      <c r="V138" s="34"/>
      <c r="W138" s="34">
        <f>4873</f>
        <v>4873</v>
      </c>
      <c r="X138" s="34"/>
      <c r="Y138" s="34"/>
      <c r="Z138" s="34"/>
      <c r="AA138" s="34"/>
      <c r="AB138" s="35">
        <f>2967</f>
        <v>2967</v>
      </c>
      <c r="AC138" s="35"/>
    </row>
    <row r="139" spans="1:29" s="1" customFormat="1" ht="24" customHeight="1">
      <c r="A139" s="31" t="s">
        <v>205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97</v>
      </c>
      <c r="M139" s="32"/>
      <c r="N139" s="32"/>
      <c r="O139" s="32" t="s">
        <v>204</v>
      </c>
      <c r="P139" s="32"/>
      <c r="Q139" s="32"/>
      <c r="R139" s="33" t="s">
        <v>206</v>
      </c>
      <c r="S139" s="33"/>
      <c r="T139" s="34">
        <f>60000</f>
        <v>60000</v>
      </c>
      <c r="U139" s="34"/>
      <c r="V139" s="34"/>
      <c r="W139" s="34">
        <f>60000</f>
        <v>60000</v>
      </c>
      <c r="X139" s="34"/>
      <c r="Y139" s="34"/>
      <c r="Z139" s="34"/>
      <c r="AA139" s="34"/>
      <c r="AB139" s="35">
        <f>0</f>
        <v>0</v>
      </c>
      <c r="AC139" s="35"/>
    </row>
    <row r="140" spans="1:29" s="1" customFormat="1" ht="13.5" customHeight="1">
      <c r="A140" s="31" t="s">
        <v>160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97</v>
      </c>
      <c r="M140" s="32"/>
      <c r="N140" s="32"/>
      <c r="O140" s="32" t="s">
        <v>207</v>
      </c>
      <c r="P140" s="32"/>
      <c r="Q140" s="32"/>
      <c r="R140" s="33" t="s">
        <v>162</v>
      </c>
      <c r="S140" s="33"/>
      <c r="T140" s="34">
        <f>70000</f>
        <v>70000</v>
      </c>
      <c r="U140" s="34"/>
      <c r="V140" s="34"/>
      <c r="W140" s="36" t="s">
        <v>53</v>
      </c>
      <c r="X140" s="36"/>
      <c r="Y140" s="36"/>
      <c r="Z140" s="36"/>
      <c r="AA140" s="36"/>
      <c r="AB140" s="35">
        <f>70000</f>
        <v>70000</v>
      </c>
      <c r="AC140" s="35"/>
    </row>
    <row r="141" spans="1:29" s="1" customFormat="1" ht="13.5" customHeight="1">
      <c r="A141" s="31" t="s">
        <v>135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97</v>
      </c>
      <c r="M141" s="32"/>
      <c r="N141" s="32"/>
      <c r="O141" s="32" t="s">
        <v>207</v>
      </c>
      <c r="P141" s="32"/>
      <c r="Q141" s="32"/>
      <c r="R141" s="33" t="s">
        <v>136</v>
      </c>
      <c r="S141" s="33"/>
      <c r="T141" s="34">
        <f>650000</f>
        <v>650000</v>
      </c>
      <c r="U141" s="34"/>
      <c r="V141" s="34"/>
      <c r="W141" s="36" t="s">
        <v>53</v>
      </c>
      <c r="X141" s="36"/>
      <c r="Y141" s="36"/>
      <c r="Z141" s="36"/>
      <c r="AA141" s="36"/>
      <c r="AB141" s="35">
        <f>650000</f>
        <v>650000</v>
      </c>
      <c r="AC141" s="35"/>
    </row>
    <row r="142" spans="1:29" s="1" customFormat="1" ht="13.5" customHeight="1">
      <c r="A142" s="31" t="s">
        <v>137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97</v>
      </c>
      <c r="M142" s="32"/>
      <c r="N142" s="32"/>
      <c r="O142" s="32" t="s">
        <v>207</v>
      </c>
      <c r="P142" s="32"/>
      <c r="Q142" s="32"/>
      <c r="R142" s="33" t="s">
        <v>138</v>
      </c>
      <c r="S142" s="33"/>
      <c r="T142" s="34">
        <f>349337</f>
        <v>349337</v>
      </c>
      <c r="U142" s="34"/>
      <c r="V142" s="34"/>
      <c r="W142" s="34">
        <f>299337</f>
        <v>299337</v>
      </c>
      <c r="X142" s="34"/>
      <c r="Y142" s="34"/>
      <c r="Z142" s="34"/>
      <c r="AA142" s="34"/>
      <c r="AB142" s="35">
        <f>50000</f>
        <v>50000</v>
      </c>
      <c r="AC142" s="35"/>
    </row>
    <row r="143" spans="1:29" s="1" customFormat="1" ht="13.5" customHeight="1">
      <c r="A143" s="31" t="s">
        <v>141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97</v>
      </c>
      <c r="M143" s="32"/>
      <c r="N143" s="32"/>
      <c r="O143" s="32" t="s">
        <v>207</v>
      </c>
      <c r="P143" s="32"/>
      <c r="Q143" s="32"/>
      <c r="R143" s="33" t="s">
        <v>142</v>
      </c>
      <c r="S143" s="33"/>
      <c r="T143" s="34">
        <f>20000</f>
        <v>20000</v>
      </c>
      <c r="U143" s="34"/>
      <c r="V143" s="34"/>
      <c r="W143" s="34">
        <f>20000</f>
        <v>20000</v>
      </c>
      <c r="X143" s="34"/>
      <c r="Y143" s="34"/>
      <c r="Z143" s="34"/>
      <c r="AA143" s="34"/>
      <c r="AB143" s="35">
        <f>0</f>
        <v>0</v>
      </c>
      <c r="AC143" s="35"/>
    </row>
    <row r="144" spans="1:29" s="1" customFormat="1" ht="13.5" customHeight="1">
      <c r="A144" s="31" t="s">
        <v>143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97</v>
      </c>
      <c r="M144" s="32"/>
      <c r="N144" s="32"/>
      <c r="O144" s="32" t="s">
        <v>207</v>
      </c>
      <c r="P144" s="32"/>
      <c r="Q144" s="32"/>
      <c r="R144" s="33" t="s">
        <v>144</v>
      </c>
      <c r="S144" s="33"/>
      <c r="T144" s="34">
        <f>31027.5</f>
        <v>31027.5</v>
      </c>
      <c r="U144" s="34"/>
      <c r="V144" s="34"/>
      <c r="W144" s="34">
        <f>20209</f>
        <v>20209</v>
      </c>
      <c r="X144" s="34"/>
      <c r="Y144" s="34"/>
      <c r="Z144" s="34"/>
      <c r="AA144" s="34"/>
      <c r="AB144" s="35">
        <f>10818.5</f>
        <v>10818.5</v>
      </c>
      <c r="AC144" s="35"/>
    </row>
    <row r="145" spans="1:29" s="1" customFormat="1" ht="13.5" customHeight="1">
      <c r="A145" s="31" t="s">
        <v>145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97</v>
      </c>
      <c r="M145" s="32"/>
      <c r="N145" s="32"/>
      <c r="O145" s="32" t="s">
        <v>207</v>
      </c>
      <c r="P145" s="32"/>
      <c r="Q145" s="32"/>
      <c r="R145" s="33" t="s">
        <v>146</v>
      </c>
      <c r="S145" s="33"/>
      <c r="T145" s="34">
        <f>81649</f>
        <v>81649</v>
      </c>
      <c r="U145" s="34"/>
      <c r="V145" s="34"/>
      <c r="W145" s="34">
        <f>57400</f>
        <v>57400</v>
      </c>
      <c r="X145" s="34"/>
      <c r="Y145" s="34"/>
      <c r="Z145" s="34"/>
      <c r="AA145" s="34"/>
      <c r="AB145" s="35">
        <f>24249</f>
        <v>24249</v>
      </c>
      <c r="AC145" s="35"/>
    </row>
    <row r="146" spans="1:29" s="1" customFormat="1" ht="13.5" customHeight="1">
      <c r="A146" s="31" t="s">
        <v>110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97</v>
      </c>
      <c r="M146" s="32"/>
      <c r="N146" s="32"/>
      <c r="O146" s="32" t="s">
        <v>208</v>
      </c>
      <c r="P146" s="32"/>
      <c r="Q146" s="32"/>
      <c r="R146" s="33" t="s">
        <v>111</v>
      </c>
      <c r="S146" s="33"/>
      <c r="T146" s="34">
        <f>70000</f>
        <v>70000</v>
      </c>
      <c r="U146" s="34"/>
      <c r="V146" s="34"/>
      <c r="W146" s="36" t="s">
        <v>53</v>
      </c>
      <c r="X146" s="36"/>
      <c r="Y146" s="36"/>
      <c r="Z146" s="36"/>
      <c r="AA146" s="36"/>
      <c r="AB146" s="35">
        <f>70000</f>
        <v>70000</v>
      </c>
      <c r="AC146" s="35"/>
    </row>
    <row r="147" spans="1:29" s="1" customFormat="1" ht="13.5" customHeight="1">
      <c r="A147" s="31" t="s">
        <v>145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97</v>
      </c>
      <c r="M147" s="32"/>
      <c r="N147" s="32"/>
      <c r="O147" s="32" t="s">
        <v>208</v>
      </c>
      <c r="P147" s="32"/>
      <c r="Q147" s="32"/>
      <c r="R147" s="33" t="s">
        <v>146</v>
      </c>
      <c r="S147" s="33"/>
      <c r="T147" s="34">
        <f>125000</f>
        <v>125000</v>
      </c>
      <c r="U147" s="34"/>
      <c r="V147" s="34"/>
      <c r="W147" s="36" t="s">
        <v>53</v>
      </c>
      <c r="X147" s="36"/>
      <c r="Y147" s="36"/>
      <c r="Z147" s="36"/>
      <c r="AA147" s="36"/>
      <c r="AB147" s="35">
        <f>125000</f>
        <v>125000</v>
      </c>
      <c r="AC147" s="35"/>
    </row>
    <row r="148" spans="1:29" s="1" customFormat="1" ht="13.5" customHeight="1">
      <c r="A148" s="31" t="s">
        <v>110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97</v>
      </c>
      <c r="M148" s="32"/>
      <c r="N148" s="32"/>
      <c r="O148" s="32" t="s">
        <v>209</v>
      </c>
      <c r="P148" s="32"/>
      <c r="Q148" s="32"/>
      <c r="R148" s="33" t="s">
        <v>111</v>
      </c>
      <c r="S148" s="33"/>
      <c r="T148" s="34">
        <f>15000</f>
        <v>15000</v>
      </c>
      <c r="U148" s="34"/>
      <c r="V148" s="34"/>
      <c r="W148" s="34">
        <f>15000</f>
        <v>15000</v>
      </c>
      <c r="X148" s="34"/>
      <c r="Y148" s="34"/>
      <c r="Z148" s="34"/>
      <c r="AA148" s="34"/>
      <c r="AB148" s="35">
        <f>0</f>
        <v>0</v>
      </c>
      <c r="AC148" s="35"/>
    </row>
    <row r="149" spans="1:29" s="1" customFormat="1" ht="13.5" customHeight="1">
      <c r="A149" s="31" t="s">
        <v>115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97</v>
      </c>
      <c r="M149" s="32"/>
      <c r="N149" s="32"/>
      <c r="O149" s="32" t="s">
        <v>210</v>
      </c>
      <c r="P149" s="32"/>
      <c r="Q149" s="32"/>
      <c r="R149" s="33" t="s">
        <v>117</v>
      </c>
      <c r="S149" s="33"/>
      <c r="T149" s="34">
        <f>375461</f>
        <v>375461</v>
      </c>
      <c r="U149" s="34"/>
      <c r="V149" s="34"/>
      <c r="W149" s="34">
        <f>281598</f>
        <v>281598</v>
      </c>
      <c r="X149" s="34"/>
      <c r="Y149" s="34"/>
      <c r="Z149" s="34"/>
      <c r="AA149" s="34"/>
      <c r="AB149" s="35">
        <f>93863</f>
        <v>93863</v>
      </c>
      <c r="AC149" s="35"/>
    </row>
    <row r="150" spans="1:29" s="1" customFormat="1" ht="13.5" customHeight="1">
      <c r="A150" s="31" t="s">
        <v>98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97</v>
      </c>
      <c r="M150" s="32"/>
      <c r="N150" s="32"/>
      <c r="O150" s="32" t="s">
        <v>211</v>
      </c>
      <c r="P150" s="32"/>
      <c r="Q150" s="32"/>
      <c r="R150" s="33" t="s">
        <v>100</v>
      </c>
      <c r="S150" s="33"/>
      <c r="T150" s="34">
        <f>467074.5</f>
        <v>467074.5</v>
      </c>
      <c r="U150" s="34"/>
      <c r="V150" s="34"/>
      <c r="W150" s="34">
        <f>247332.27</f>
        <v>247332.27</v>
      </c>
      <c r="X150" s="34"/>
      <c r="Y150" s="34"/>
      <c r="Z150" s="34"/>
      <c r="AA150" s="34"/>
      <c r="AB150" s="35">
        <f>219742.23</f>
        <v>219742.23</v>
      </c>
      <c r="AC150" s="35"/>
    </row>
    <row r="151" spans="1:29" s="1" customFormat="1" ht="13.5" customHeight="1">
      <c r="A151" s="31" t="s">
        <v>101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97</v>
      </c>
      <c r="M151" s="32"/>
      <c r="N151" s="32"/>
      <c r="O151" s="32" t="s">
        <v>212</v>
      </c>
      <c r="P151" s="32"/>
      <c r="Q151" s="32"/>
      <c r="R151" s="33" t="s">
        <v>103</v>
      </c>
      <c r="S151" s="33"/>
      <c r="T151" s="34">
        <f>133371.5</f>
        <v>133371.5</v>
      </c>
      <c r="U151" s="34"/>
      <c r="V151" s="34"/>
      <c r="W151" s="34">
        <f>71281.76</f>
        <v>71281.76</v>
      </c>
      <c r="X151" s="34"/>
      <c r="Y151" s="34"/>
      <c r="Z151" s="34"/>
      <c r="AA151" s="34"/>
      <c r="AB151" s="35">
        <f>62089.74</f>
        <v>62089.74</v>
      </c>
      <c r="AC151" s="35"/>
    </row>
    <row r="152" spans="1:29" s="1" customFormat="1" ht="13.5" customHeight="1">
      <c r="A152" s="31" t="s">
        <v>98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97</v>
      </c>
      <c r="M152" s="32"/>
      <c r="N152" s="32"/>
      <c r="O152" s="32" t="s">
        <v>213</v>
      </c>
      <c r="P152" s="32"/>
      <c r="Q152" s="32"/>
      <c r="R152" s="33" t="s">
        <v>100</v>
      </c>
      <c r="S152" s="33"/>
      <c r="T152" s="34">
        <f>23758.48</f>
        <v>23758.48</v>
      </c>
      <c r="U152" s="34"/>
      <c r="V152" s="34"/>
      <c r="W152" s="34">
        <f>23758.48</f>
        <v>23758.48</v>
      </c>
      <c r="X152" s="34"/>
      <c r="Y152" s="34"/>
      <c r="Z152" s="34"/>
      <c r="AA152" s="34"/>
      <c r="AB152" s="35">
        <f>0</f>
        <v>0</v>
      </c>
      <c r="AC152" s="35"/>
    </row>
    <row r="153" spans="1:29" s="1" customFormat="1" ht="13.5" customHeight="1">
      <c r="A153" s="31" t="s">
        <v>101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97</v>
      </c>
      <c r="M153" s="32"/>
      <c r="N153" s="32"/>
      <c r="O153" s="32" t="s">
        <v>214</v>
      </c>
      <c r="P153" s="32"/>
      <c r="Q153" s="32"/>
      <c r="R153" s="33" t="s">
        <v>103</v>
      </c>
      <c r="S153" s="33"/>
      <c r="T153" s="34">
        <f>7175.06</f>
        <v>7175.06</v>
      </c>
      <c r="U153" s="34"/>
      <c r="V153" s="34"/>
      <c r="W153" s="34">
        <f>7175.06</f>
        <v>7175.06</v>
      </c>
      <c r="X153" s="34"/>
      <c r="Y153" s="34"/>
      <c r="Z153" s="34"/>
      <c r="AA153" s="34"/>
      <c r="AB153" s="35">
        <f>0</f>
        <v>0</v>
      </c>
      <c r="AC153" s="35"/>
    </row>
    <row r="154" spans="1:29" s="1" customFormat="1" ht="13.5" customHeight="1">
      <c r="A154" s="31" t="s">
        <v>110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97</v>
      </c>
      <c r="M154" s="32"/>
      <c r="N154" s="32"/>
      <c r="O154" s="32" t="s">
        <v>215</v>
      </c>
      <c r="P154" s="32"/>
      <c r="Q154" s="32"/>
      <c r="R154" s="33" t="s">
        <v>111</v>
      </c>
      <c r="S154" s="33"/>
      <c r="T154" s="34">
        <f>27939</f>
        <v>27939</v>
      </c>
      <c r="U154" s="34"/>
      <c r="V154" s="34"/>
      <c r="W154" s="34">
        <f>10623.9</f>
        <v>10623.9</v>
      </c>
      <c r="X154" s="34"/>
      <c r="Y154" s="34"/>
      <c r="Z154" s="34"/>
      <c r="AA154" s="34"/>
      <c r="AB154" s="35">
        <f>17315.1</f>
        <v>17315.1</v>
      </c>
      <c r="AC154" s="35"/>
    </row>
    <row r="155" spans="1:29" s="1" customFormat="1" ht="13.5" customHeight="1">
      <c r="A155" s="31" t="s">
        <v>143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97</v>
      </c>
      <c r="M155" s="32"/>
      <c r="N155" s="32"/>
      <c r="O155" s="32" t="s">
        <v>216</v>
      </c>
      <c r="P155" s="32"/>
      <c r="Q155" s="32"/>
      <c r="R155" s="33" t="s">
        <v>144</v>
      </c>
      <c r="S155" s="33"/>
      <c r="T155" s="34">
        <f>1740</f>
        <v>1740</v>
      </c>
      <c r="U155" s="34"/>
      <c r="V155" s="34"/>
      <c r="W155" s="34">
        <f>1740</f>
        <v>1740</v>
      </c>
      <c r="X155" s="34"/>
      <c r="Y155" s="34"/>
      <c r="Z155" s="34"/>
      <c r="AA155" s="34"/>
      <c r="AB155" s="35">
        <f>0</f>
        <v>0</v>
      </c>
      <c r="AC155" s="35"/>
    </row>
    <row r="156" spans="1:29" s="1" customFormat="1" ht="13.5" customHeight="1">
      <c r="A156" s="31" t="s">
        <v>137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97</v>
      </c>
      <c r="M156" s="32"/>
      <c r="N156" s="32"/>
      <c r="O156" s="32" t="s">
        <v>217</v>
      </c>
      <c r="P156" s="32"/>
      <c r="Q156" s="32"/>
      <c r="R156" s="33" t="s">
        <v>138</v>
      </c>
      <c r="S156" s="33"/>
      <c r="T156" s="34">
        <f>282999</f>
        <v>282999</v>
      </c>
      <c r="U156" s="34"/>
      <c r="V156" s="34"/>
      <c r="W156" s="34">
        <f>282999</f>
        <v>282999</v>
      </c>
      <c r="X156" s="34"/>
      <c r="Y156" s="34"/>
      <c r="Z156" s="34"/>
      <c r="AA156" s="34"/>
      <c r="AB156" s="35">
        <f>0</f>
        <v>0</v>
      </c>
      <c r="AC156" s="35"/>
    </row>
    <row r="157" spans="1:29" s="1" customFormat="1" ht="13.5" customHeight="1">
      <c r="A157" s="31" t="s">
        <v>145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97</v>
      </c>
      <c r="M157" s="32"/>
      <c r="N157" s="32"/>
      <c r="O157" s="32" t="s">
        <v>217</v>
      </c>
      <c r="P157" s="32"/>
      <c r="Q157" s="32"/>
      <c r="R157" s="33" t="s">
        <v>146</v>
      </c>
      <c r="S157" s="33"/>
      <c r="T157" s="34">
        <f>10400</f>
        <v>10400</v>
      </c>
      <c r="U157" s="34"/>
      <c r="V157" s="34"/>
      <c r="W157" s="34">
        <f>10400</f>
        <v>10400</v>
      </c>
      <c r="X157" s="34"/>
      <c r="Y157" s="34"/>
      <c r="Z157" s="34"/>
      <c r="AA157" s="34"/>
      <c r="AB157" s="35">
        <f>0</f>
        <v>0</v>
      </c>
      <c r="AC157" s="35"/>
    </row>
    <row r="158" spans="1:29" s="1" customFormat="1" ht="13.5" customHeight="1">
      <c r="A158" s="31" t="s">
        <v>137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97</v>
      </c>
      <c r="M158" s="32"/>
      <c r="N158" s="32"/>
      <c r="O158" s="32" t="s">
        <v>218</v>
      </c>
      <c r="P158" s="32"/>
      <c r="Q158" s="32"/>
      <c r="R158" s="33" t="s">
        <v>138</v>
      </c>
      <c r="S158" s="33"/>
      <c r="T158" s="34">
        <f>280000</f>
        <v>280000</v>
      </c>
      <c r="U158" s="34"/>
      <c r="V158" s="34"/>
      <c r="W158" s="34">
        <f>280000</f>
        <v>280000</v>
      </c>
      <c r="X158" s="34"/>
      <c r="Y158" s="34"/>
      <c r="Z158" s="34"/>
      <c r="AA158" s="34"/>
      <c r="AB158" s="35">
        <f>0</f>
        <v>0</v>
      </c>
      <c r="AC158" s="35"/>
    </row>
    <row r="159" spans="1:29" s="1" customFormat="1" ht="13.5" customHeight="1">
      <c r="A159" s="31" t="s">
        <v>110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97</v>
      </c>
      <c r="M159" s="32"/>
      <c r="N159" s="32"/>
      <c r="O159" s="32" t="s">
        <v>219</v>
      </c>
      <c r="P159" s="32"/>
      <c r="Q159" s="32"/>
      <c r="R159" s="33" t="s">
        <v>111</v>
      </c>
      <c r="S159" s="33"/>
      <c r="T159" s="34">
        <f>725594.83</f>
        <v>725594.83</v>
      </c>
      <c r="U159" s="34"/>
      <c r="V159" s="34"/>
      <c r="W159" s="34">
        <f>419631.6</f>
        <v>419631.6</v>
      </c>
      <c r="X159" s="34"/>
      <c r="Y159" s="34"/>
      <c r="Z159" s="34"/>
      <c r="AA159" s="34"/>
      <c r="AB159" s="35">
        <f>305963.23</f>
        <v>305963.23</v>
      </c>
      <c r="AC159" s="35"/>
    </row>
    <row r="160" spans="1:29" s="1" customFormat="1" ht="13.5" customHeight="1">
      <c r="A160" s="31" t="s">
        <v>98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97</v>
      </c>
      <c r="M160" s="32"/>
      <c r="N160" s="32"/>
      <c r="O160" s="32" t="s">
        <v>220</v>
      </c>
      <c r="P160" s="32"/>
      <c r="Q160" s="32"/>
      <c r="R160" s="33" t="s">
        <v>100</v>
      </c>
      <c r="S160" s="33"/>
      <c r="T160" s="34">
        <f>4338968.92</f>
        <v>4338968.92</v>
      </c>
      <c r="U160" s="34"/>
      <c r="V160" s="34"/>
      <c r="W160" s="34">
        <f>2662825.34</f>
        <v>2662825.34</v>
      </c>
      <c r="X160" s="34"/>
      <c r="Y160" s="34"/>
      <c r="Z160" s="34"/>
      <c r="AA160" s="34"/>
      <c r="AB160" s="35">
        <f>1676143.58</f>
        <v>1676143.58</v>
      </c>
      <c r="AC160" s="35"/>
    </row>
    <row r="161" spans="1:29" s="1" customFormat="1" ht="13.5" customHeight="1">
      <c r="A161" s="31" t="s">
        <v>105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97</v>
      </c>
      <c r="M161" s="32"/>
      <c r="N161" s="32"/>
      <c r="O161" s="32" t="s">
        <v>220</v>
      </c>
      <c r="P161" s="32"/>
      <c r="Q161" s="32"/>
      <c r="R161" s="33" t="s">
        <v>106</v>
      </c>
      <c r="S161" s="33"/>
      <c r="T161" s="34">
        <f>15000</f>
        <v>15000</v>
      </c>
      <c r="U161" s="34"/>
      <c r="V161" s="34"/>
      <c r="W161" s="34">
        <f>8134.23</f>
        <v>8134.23</v>
      </c>
      <c r="X161" s="34"/>
      <c r="Y161" s="34"/>
      <c r="Z161" s="34"/>
      <c r="AA161" s="34"/>
      <c r="AB161" s="35">
        <f>6865.77</f>
        <v>6865.77</v>
      </c>
      <c r="AC161" s="35"/>
    </row>
    <row r="162" spans="1:29" s="1" customFormat="1" ht="13.5" customHeight="1">
      <c r="A162" s="31" t="s">
        <v>164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97</v>
      </c>
      <c r="M162" s="32"/>
      <c r="N162" s="32"/>
      <c r="O162" s="32" t="s">
        <v>221</v>
      </c>
      <c r="P162" s="32"/>
      <c r="Q162" s="32"/>
      <c r="R162" s="33" t="s">
        <v>166</v>
      </c>
      <c r="S162" s="33"/>
      <c r="T162" s="34">
        <f>4500</f>
        <v>4500</v>
      </c>
      <c r="U162" s="34"/>
      <c r="V162" s="34"/>
      <c r="W162" s="34">
        <f>4500</f>
        <v>4500</v>
      </c>
      <c r="X162" s="34"/>
      <c r="Y162" s="34"/>
      <c r="Z162" s="34"/>
      <c r="AA162" s="34"/>
      <c r="AB162" s="35">
        <f>0</f>
        <v>0</v>
      </c>
      <c r="AC162" s="35"/>
    </row>
    <row r="163" spans="1:29" s="1" customFormat="1" ht="13.5" customHeight="1">
      <c r="A163" s="31" t="s">
        <v>107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97</v>
      </c>
      <c r="M163" s="32"/>
      <c r="N163" s="32"/>
      <c r="O163" s="32" t="s">
        <v>221</v>
      </c>
      <c r="P163" s="32"/>
      <c r="Q163" s="32"/>
      <c r="R163" s="33" t="s">
        <v>109</v>
      </c>
      <c r="S163" s="33"/>
      <c r="T163" s="34">
        <f>75256</f>
        <v>75256</v>
      </c>
      <c r="U163" s="34"/>
      <c r="V163" s="34"/>
      <c r="W163" s="34">
        <f>75077.8</f>
        <v>75077.8</v>
      </c>
      <c r="X163" s="34"/>
      <c r="Y163" s="34"/>
      <c r="Z163" s="34"/>
      <c r="AA163" s="34"/>
      <c r="AB163" s="35">
        <f>178.2</f>
        <v>178.2</v>
      </c>
      <c r="AC163" s="35"/>
    </row>
    <row r="164" spans="1:29" s="1" customFormat="1" ht="13.5" customHeight="1">
      <c r="A164" s="31" t="s">
        <v>101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97</v>
      </c>
      <c r="M164" s="32"/>
      <c r="N164" s="32"/>
      <c r="O164" s="32" t="s">
        <v>222</v>
      </c>
      <c r="P164" s="32"/>
      <c r="Q164" s="32"/>
      <c r="R164" s="33" t="s">
        <v>103</v>
      </c>
      <c r="S164" s="33"/>
      <c r="T164" s="34">
        <f>1293068.61</f>
        <v>1293068.61</v>
      </c>
      <c r="U164" s="34"/>
      <c r="V164" s="34"/>
      <c r="W164" s="34">
        <f>597786.8</f>
        <v>597786.8</v>
      </c>
      <c r="X164" s="34"/>
      <c r="Y164" s="34"/>
      <c r="Z164" s="34"/>
      <c r="AA164" s="34"/>
      <c r="AB164" s="35">
        <f>695281.81</f>
        <v>695281.81</v>
      </c>
      <c r="AC164" s="35"/>
    </row>
    <row r="165" spans="1:29" s="1" customFormat="1" ht="13.5" customHeight="1">
      <c r="A165" s="31" t="s">
        <v>130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97</v>
      </c>
      <c r="M165" s="32"/>
      <c r="N165" s="32"/>
      <c r="O165" s="32" t="s">
        <v>223</v>
      </c>
      <c r="P165" s="32"/>
      <c r="Q165" s="32"/>
      <c r="R165" s="33" t="s">
        <v>132</v>
      </c>
      <c r="S165" s="33"/>
      <c r="T165" s="34">
        <f>60000</f>
        <v>60000</v>
      </c>
      <c r="U165" s="34"/>
      <c r="V165" s="34"/>
      <c r="W165" s="34">
        <f>40530.97</f>
        <v>40530.97</v>
      </c>
      <c r="X165" s="34"/>
      <c r="Y165" s="34"/>
      <c r="Z165" s="34"/>
      <c r="AA165" s="34"/>
      <c r="AB165" s="35">
        <f>19469.03</f>
        <v>19469.03</v>
      </c>
      <c r="AC165" s="35"/>
    </row>
    <row r="166" spans="1:29" s="1" customFormat="1" ht="13.5" customHeight="1">
      <c r="A166" s="31" t="s">
        <v>160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97</v>
      </c>
      <c r="M166" s="32"/>
      <c r="N166" s="32"/>
      <c r="O166" s="32" t="s">
        <v>223</v>
      </c>
      <c r="P166" s="32"/>
      <c r="Q166" s="32"/>
      <c r="R166" s="33" t="s">
        <v>162</v>
      </c>
      <c r="S166" s="33"/>
      <c r="T166" s="34">
        <f>74797</f>
        <v>74797</v>
      </c>
      <c r="U166" s="34"/>
      <c r="V166" s="34"/>
      <c r="W166" s="34">
        <f>74797</f>
        <v>74797</v>
      </c>
      <c r="X166" s="34"/>
      <c r="Y166" s="34"/>
      <c r="Z166" s="34"/>
      <c r="AA166" s="34"/>
      <c r="AB166" s="35">
        <f>0</f>
        <v>0</v>
      </c>
      <c r="AC166" s="35"/>
    </row>
    <row r="167" spans="1:29" s="1" customFormat="1" ht="13.5" customHeight="1">
      <c r="A167" s="31" t="s">
        <v>133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97</v>
      </c>
      <c r="M167" s="32"/>
      <c r="N167" s="32"/>
      <c r="O167" s="32" t="s">
        <v>223</v>
      </c>
      <c r="P167" s="32"/>
      <c r="Q167" s="32"/>
      <c r="R167" s="33" t="s">
        <v>134</v>
      </c>
      <c r="S167" s="33"/>
      <c r="T167" s="34">
        <f>95337.15</f>
        <v>95337.15</v>
      </c>
      <c r="U167" s="34"/>
      <c r="V167" s="34"/>
      <c r="W167" s="34">
        <f>17311.83</f>
        <v>17311.83</v>
      </c>
      <c r="X167" s="34"/>
      <c r="Y167" s="34"/>
      <c r="Z167" s="34"/>
      <c r="AA167" s="34"/>
      <c r="AB167" s="35">
        <f>78025.32</f>
        <v>78025.32</v>
      </c>
      <c r="AC167" s="35"/>
    </row>
    <row r="168" spans="1:29" s="1" customFormat="1" ht="13.5" customHeight="1">
      <c r="A168" s="31" t="s">
        <v>110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97</v>
      </c>
      <c r="M168" s="32"/>
      <c r="N168" s="32"/>
      <c r="O168" s="32" t="s">
        <v>223</v>
      </c>
      <c r="P168" s="32"/>
      <c r="Q168" s="32"/>
      <c r="R168" s="33" t="s">
        <v>111</v>
      </c>
      <c r="S168" s="33"/>
      <c r="T168" s="34">
        <f>75980</f>
        <v>75980</v>
      </c>
      <c r="U168" s="34"/>
      <c r="V168" s="34"/>
      <c r="W168" s="34">
        <f>61980</f>
        <v>61980</v>
      </c>
      <c r="X168" s="34"/>
      <c r="Y168" s="34"/>
      <c r="Z168" s="34"/>
      <c r="AA168" s="34"/>
      <c r="AB168" s="35">
        <f>14000</f>
        <v>14000</v>
      </c>
      <c r="AC168" s="35"/>
    </row>
    <row r="169" spans="1:29" s="1" customFormat="1" ht="13.5" customHeight="1">
      <c r="A169" s="31" t="s">
        <v>137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97</v>
      </c>
      <c r="M169" s="32"/>
      <c r="N169" s="32"/>
      <c r="O169" s="32" t="s">
        <v>223</v>
      </c>
      <c r="P169" s="32"/>
      <c r="Q169" s="32"/>
      <c r="R169" s="33" t="s">
        <v>138</v>
      </c>
      <c r="S169" s="33"/>
      <c r="T169" s="34">
        <f>235711.01</f>
        <v>235711.01</v>
      </c>
      <c r="U169" s="34"/>
      <c r="V169" s="34"/>
      <c r="W169" s="34">
        <f>212005.01</f>
        <v>212005.01</v>
      </c>
      <c r="X169" s="34"/>
      <c r="Y169" s="34"/>
      <c r="Z169" s="34"/>
      <c r="AA169" s="34"/>
      <c r="AB169" s="35">
        <f>23706</f>
        <v>23706</v>
      </c>
      <c r="AC169" s="35"/>
    </row>
    <row r="170" spans="1:29" s="1" customFormat="1" ht="24" customHeight="1">
      <c r="A170" s="31" t="s">
        <v>139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97</v>
      </c>
      <c r="M170" s="32"/>
      <c r="N170" s="32"/>
      <c r="O170" s="32" t="s">
        <v>223</v>
      </c>
      <c r="P170" s="32"/>
      <c r="Q170" s="32"/>
      <c r="R170" s="33" t="s">
        <v>140</v>
      </c>
      <c r="S170" s="33"/>
      <c r="T170" s="34">
        <f>2300</f>
        <v>2300</v>
      </c>
      <c r="U170" s="34"/>
      <c r="V170" s="34"/>
      <c r="W170" s="34">
        <f>2300</f>
        <v>2300</v>
      </c>
      <c r="X170" s="34"/>
      <c r="Y170" s="34"/>
      <c r="Z170" s="34"/>
      <c r="AA170" s="34"/>
      <c r="AB170" s="35">
        <f>0</f>
        <v>0</v>
      </c>
      <c r="AC170" s="35"/>
    </row>
    <row r="171" spans="1:29" s="1" customFormat="1" ht="13.5" customHeight="1">
      <c r="A171" s="31" t="s">
        <v>145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97</v>
      </c>
      <c r="M171" s="32"/>
      <c r="N171" s="32"/>
      <c r="O171" s="32" t="s">
        <v>223</v>
      </c>
      <c r="P171" s="32"/>
      <c r="Q171" s="32"/>
      <c r="R171" s="33" t="s">
        <v>146</v>
      </c>
      <c r="S171" s="33"/>
      <c r="T171" s="34">
        <f>213171.24</f>
        <v>213171.24</v>
      </c>
      <c r="U171" s="34"/>
      <c r="V171" s="34"/>
      <c r="W171" s="34">
        <f>204198.88</f>
        <v>204198.88</v>
      </c>
      <c r="X171" s="34"/>
      <c r="Y171" s="34"/>
      <c r="Z171" s="34"/>
      <c r="AA171" s="34"/>
      <c r="AB171" s="35">
        <f>8972.36</f>
        <v>8972.36</v>
      </c>
      <c r="AC171" s="35"/>
    </row>
    <row r="172" spans="1:29" s="1" customFormat="1" ht="13.5" customHeight="1">
      <c r="A172" s="31" t="s">
        <v>133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97</v>
      </c>
      <c r="M172" s="32"/>
      <c r="N172" s="32"/>
      <c r="O172" s="32" t="s">
        <v>224</v>
      </c>
      <c r="P172" s="32"/>
      <c r="Q172" s="32"/>
      <c r="R172" s="33" t="s">
        <v>134</v>
      </c>
      <c r="S172" s="33"/>
      <c r="T172" s="34">
        <f>774662.85</f>
        <v>774662.85</v>
      </c>
      <c r="U172" s="34"/>
      <c r="V172" s="34"/>
      <c r="W172" s="34">
        <f>452901.86</f>
        <v>452901.86</v>
      </c>
      <c r="X172" s="34"/>
      <c r="Y172" s="34"/>
      <c r="Z172" s="34"/>
      <c r="AA172" s="34"/>
      <c r="AB172" s="35">
        <f>321760.99</f>
        <v>321760.99</v>
      </c>
      <c r="AC172" s="35"/>
    </row>
    <row r="173" spans="1:29" s="1" customFormat="1" ht="13.5" customHeight="1">
      <c r="A173" s="31" t="s">
        <v>98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97</v>
      </c>
      <c r="M173" s="32"/>
      <c r="N173" s="32"/>
      <c r="O173" s="32" t="s">
        <v>225</v>
      </c>
      <c r="P173" s="32"/>
      <c r="Q173" s="32"/>
      <c r="R173" s="33" t="s">
        <v>100</v>
      </c>
      <c r="S173" s="33"/>
      <c r="T173" s="34">
        <f>2398907.35</f>
        <v>2398907.35</v>
      </c>
      <c r="U173" s="34"/>
      <c r="V173" s="34"/>
      <c r="W173" s="34">
        <f>1551813.7</f>
        <v>1551813.7</v>
      </c>
      <c r="X173" s="34"/>
      <c r="Y173" s="34"/>
      <c r="Z173" s="34"/>
      <c r="AA173" s="34"/>
      <c r="AB173" s="35">
        <f>847093.65</f>
        <v>847093.65</v>
      </c>
      <c r="AC173" s="35"/>
    </row>
    <row r="174" spans="1:29" s="1" customFormat="1" ht="13.5" customHeight="1">
      <c r="A174" s="31" t="s">
        <v>101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97</v>
      </c>
      <c r="M174" s="32"/>
      <c r="N174" s="32"/>
      <c r="O174" s="32" t="s">
        <v>226</v>
      </c>
      <c r="P174" s="32"/>
      <c r="Q174" s="32"/>
      <c r="R174" s="33" t="s">
        <v>103</v>
      </c>
      <c r="S174" s="33"/>
      <c r="T174" s="34">
        <f>724470.02</f>
        <v>724470.02</v>
      </c>
      <c r="U174" s="34"/>
      <c r="V174" s="34"/>
      <c r="W174" s="34">
        <f>498965.67</f>
        <v>498965.67</v>
      </c>
      <c r="X174" s="34"/>
      <c r="Y174" s="34"/>
      <c r="Z174" s="34"/>
      <c r="AA174" s="34"/>
      <c r="AB174" s="35">
        <f>225504.35</f>
        <v>225504.35</v>
      </c>
      <c r="AC174" s="35"/>
    </row>
    <row r="175" spans="1:29" s="1" customFormat="1" ht="13.5" customHeight="1">
      <c r="A175" s="31" t="s">
        <v>110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97</v>
      </c>
      <c r="M175" s="32"/>
      <c r="N175" s="32"/>
      <c r="O175" s="32" t="s">
        <v>227</v>
      </c>
      <c r="P175" s="32"/>
      <c r="Q175" s="32"/>
      <c r="R175" s="33" t="s">
        <v>111</v>
      </c>
      <c r="S175" s="33"/>
      <c r="T175" s="34">
        <f>990</f>
        <v>990</v>
      </c>
      <c r="U175" s="34"/>
      <c r="V175" s="34"/>
      <c r="W175" s="34">
        <f>990</f>
        <v>990</v>
      </c>
      <c r="X175" s="34"/>
      <c r="Y175" s="34"/>
      <c r="Z175" s="34"/>
      <c r="AA175" s="34"/>
      <c r="AB175" s="35">
        <f>0</f>
        <v>0</v>
      </c>
      <c r="AC175" s="35"/>
    </row>
    <row r="176" spans="1:29" s="1" customFormat="1" ht="13.5" customHeight="1">
      <c r="A176" s="31" t="s">
        <v>145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97</v>
      </c>
      <c r="M176" s="32"/>
      <c r="N176" s="32"/>
      <c r="O176" s="32" t="s">
        <v>227</v>
      </c>
      <c r="P176" s="32"/>
      <c r="Q176" s="32"/>
      <c r="R176" s="33" t="s">
        <v>146</v>
      </c>
      <c r="S176" s="33"/>
      <c r="T176" s="34">
        <f>20000</f>
        <v>20000</v>
      </c>
      <c r="U176" s="34"/>
      <c r="V176" s="34"/>
      <c r="W176" s="34">
        <f>20000</f>
        <v>20000</v>
      </c>
      <c r="X176" s="34"/>
      <c r="Y176" s="34"/>
      <c r="Z176" s="34"/>
      <c r="AA176" s="34"/>
      <c r="AB176" s="35">
        <f>0</f>
        <v>0</v>
      </c>
      <c r="AC176" s="35"/>
    </row>
    <row r="177" spans="1:29" s="1" customFormat="1" ht="24" customHeight="1">
      <c r="A177" s="31" t="s">
        <v>205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97</v>
      </c>
      <c r="M177" s="32"/>
      <c r="N177" s="32"/>
      <c r="O177" s="32" t="s">
        <v>227</v>
      </c>
      <c r="P177" s="32"/>
      <c r="Q177" s="32"/>
      <c r="R177" s="33" t="s">
        <v>206</v>
      </c>
      <c r="S177" s="33"/>
      <c r="T177" s="34">
        <f>20870</f>
        <v>20870</v>
      </c>
      <c r="U177" s="34"/>
      <c r="V177" s="34"/>
      <c r="W177" s="34">
        <f>20870</f>
        <v>20870</v>
      </c>
      <c r="X177" s="34"/>
      <c r="Y177" s="34"/>
      <c r="Z177" s="34"/>
      <c r="AA177" s="34"/>
      <c r="AB177" s="35">
        <f>0</f>
        <v>0</v>
      </c>
      <c r="AC177" s="35"/>
    </row>
    <row r="178" spans="1:29" s="1" customFormat="1" ht="24" customHeight="1">
      <c r="A178" s="31" t="s">
        <v>124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97</v>
      </c>
      <c r="M178" s="32"/>
      <c r="N178" s="32"/>
      <c r="O178" s="32" t="s">
        <v>227</v>
      </c>
      <c r="P178" s="32"/>
      <c r="Q178" s="32"/>
      <c r="R178" s="33" t="s">
        <v>126</v>
      </c>
      <c r="S178" s="33"/>
      <c r="T178" s="34">
        <f>100000</f>
        <v>100000</v>
      </c>
      <c r="U178" s="34"/>
      <c r="V178" s="34"/>
      <c r="W178" s="34">
        <f>54099.93</f>
        <v>54099.93</v>
      </c>
      <c r="X178" s="34"/>
      <c r="Y178" s="34"/>
      <c r="Z178" s="34"/>
      <c r="AA178" s="34"/>
      <c r="AB178" s="35">
        <f>45900.07</f>
        <v>45900.07</v>
      </c>
      <c r="AC178" s="35"/>
    </row>
    <row r="179" spans="1:29" s="1" customFormat="1" ht="13.5" customHeight="1">
      <c r="A179" s="31" t="s">
        <v>110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 t="s">
        <v>97</v>
      </c>
      <c r="M179" s="32"/>
      <c r="N179" s="32"/>
      <c r="O179" s="32" t="s">
        <v>228</v>
      </c>
      <c r="P179" s="32"/>
      <c r="Q179" s="32"/>
      <c r="R179" s="33" t="s">
        <v>111</v>
      </c>
      <c r="S179" s="33"/>
      <c r="T179" s="34">
        <f>50000</f>
        <v>50000</v>
      </c>
      <c r="U179" s="34"/>
      <c r="V179" s="34"/>
      <c r="W179" s="36" t="s">
        <v>53</v>
      </c>
      <c r="X179" s="36"/>
      <c r="Y179" s="36"/>
      <c r="Z179" s="36"/>
      <c r="AA179" s="36"/>
      <c r="AB179" s="35">
        <f>50000</f>
        <v>50000</v>
      </c>
      <c r="AC179" s="35"/>
    </row>
    <row r="180" spans="1:29" s="1" customFormat="1" ht="13.5" customHeight="1">
      <c r="A180" s="31" t="s">
        <v>145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2" t="s">
        <v>97</v>
      </c>
      <c r="M180" s="32"/>
      <c r="N180" s="32"/>
      <c r="O180" s="32" t="s">
        <v>228</v>
      </c>
      <c r="P180" s="32"/>
      <c r="Q180" s="32"/>
      <c r="R180" s="33" t="s">
        <v>146</v>
      </c>
      <c r="S180" s="33"/>
      <c r="T180" s="34">
        <f>610</f>
        <v>610</v>
      </c>
      <c r="U180" s="34"/>
      <c r="V180" s="34"/>
      <c r="W180" s="36" t="s">
        <v>53</v>
      </c>
      <c r="X180" s="36"/>
      <c r="Y180" s="36"/>
      <c r="Z180" s="36"/>
      <c r="AA180" s="36"/>
      <c r="AB180" s="35">
        <f>610</f>
        <v>610</v>
      </c>
      <c r="AC180" s="35"/>
    </row>
    <row r="181" spans="1:29" s="1" customFormat="1" ht="24" customHeight="1">
      <c r="A181" s="31" t="s">
        <v>205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2" t="s">
        <v>97</v>
      </c>
      <c r="M181" s="32"/>
      <c r="N181" s="32"/>
      <c r="O181" s="32" t="s">
        <v>228</v>
      </c>
      <c r="P181" s="32"/>
      <c r="Q181" s="32"/>
      <c r="R181" s="33" t="s">
        <v>206</v>
      </c>
      <c r="S181" s="33"/>
      <c r="T181" s="34">
        <f>9773</f>
        <v>9773</v>
      </c>
      <c r="U181" s="34"/>
      <c r="V181" s="34"/>
      <c r="W181" s="36" t="s">
        <v>53</v>
      </c>
      <c r="X181" s="36"/>
      <c r="Y181" s="36"/>
      <c r="Z181" s="36"/>
      <c r="AA181" s="36"/>
      <c r="AB181" s="35">
        <f>9773</f>
        <v>9773</v>
      </c>
      <c r="AC181" s="35"/>
    </row>
    <row r="182" spans="1:29" s="1" customFormat="1" ht="24" customHeight="1">
      <c r="A182" s="31" t="s">
        <v>124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2" t="s">
        <v>97</v>
      </c>
      <c r="M182" s="32"/>
      <c r="N182" s="32"/>
      <c r="O182" s="32" t="s">
        <v>228</v>
      </c>
      <c r="P182" s="32"/>
      <c r="Q182" s="32"/>
      <c r="R182" s="33" t="s">
        <v>126</v>
      </c>
      <c r="S182" s="33"/>
      <c r="T182" s="34">
        <f>39617</f>
        <v>39617</v>
      </c>
      <c r="U182" s="34"/>
      <c r="V182" s="34"/>
      <c r="W182" s="36" t="s">
        <v>53</v>
      </c>
      <c r="X182" s="36"/>
      <c r="Y182" s="36"/>
      <c r="Z182" s="36"/>
      <c r="AA182" s="36"/>
      <c r="AB182" s="35">
        <f>39617</f>
        <v>39617</v>
      </c>
      <c r="AC182" s="35"/>
    </row>
    <row r="183" spans="1:29" s="1" customFormat="1" ht="24" customHeight="1">
      <c r="A183" s="31" t="s">
        <v>229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2" t="s">
        <v>97</v>
      </c>
      <c r="M183" s="32"/>
      <c r="N183" s="32"/>
      <c r="O183" s="32" t="s">
        <v>230</v>
      </c>
      <c r="P183" s="32"/>
      <c r="Q183" s="32"/>
      <c r="R183" s="33" t="s">
        <v>231</v>
      </c>
      <c r="S183" s="33"/>
      <c r="T183" s="34">
        <f>620628</f>
        <v>620628</v>
      </c>
      <c r="U183" s="34"/>
      <c r="V183" s="34"/>
      <c r="W183" s="34">
        <f>413752</f>
        <v>413752</v>
      </c>
      <c r="X183" s="34"/>
      <c r="Y183" s="34"/>
      <c r="Z183" s="34"/>
      <c r="AA183" s="34"/>
      <c r="AB183" s="35">
        <f>206876</f>
        <v>206876</v>
      </c>
      <c r="AC183" s="35"/>
    </row>
    <row r="184" spans="1:29" s="1" customFormat="1" ht="24" customHeight="1">
      <c r="A184" s="31" t="s">
        <v>124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2" t="s">
        <v>97</v>
      </c>
      <c r="M184" s="32"/>
      <c r="N184" s="32"/>
      <c r="O184" s="32" t="s">
        <v>232</v>
      </c>
      <c r="P184" s="32"/>
      <c r="Q184" s="32"/>
      <c r="R184" s="33" t="s">
        <v>126</v>
      </c>
      <c r="S184" s="33"/>
      <c r="T184" s="34">
        <f>30000</f>
        <v>30000</v>
      </c>
      <c r="U184" s="34"/>
      <c r="V184" s="34"/>
      <c r="W184" s="34">
        <f>6000</f>
        <v>6000</v>
      </c>
      <c r="X184" s="34"/>
      <c r="Y184" s="34"/>
      <c r="Z184" s="34"/>
      <c r="AA184" s="34"/>
      <c r="AB184" s="35">
        <f>24000</f>
        <v>24000</v>
      </c>
      <c r="AC184" s="35"/>
    </row>
    <row r="185" spans="1:29" s="1" customFormat="1" ht="15" customHeight="1">
      <c r="A185" s="37" t="s">
        <v>233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8" t="s">
        <v>234</v>
      </c>
      <c r="M185" s="38"/>
      <c r="N185" s="38"/>
      <c r="O185" s="38" t="s">
        <v>36</v>
      </c>
      <c r="P185" s="38"/>
      <c r="Q185" s="38"/>
      <c r="R185" s="39" t="s">
        <v>36</v>
      </c>
      <c r="S185" s="39"/>
      <c r="T185" s="40">
        <f>-2718102.36</f>
        <v>-2718102.36</v>
      </c>
      <c r="U185" s="40"/>
      <c r="V185" s="40"/>
      <c r="W185" s="40">
        <f>932905.25</f>
        <v>932905.25</v>
      </c>
      <c r="X185" s="40"/>
      <c r="Y185" s="40"/>
      <c r="Z185" s="40"/>
      <c r="AA185" s="40"/>
      <c r="AB185" s="41" t="s">
        <v>36</v>
      </c>
      <c r="AC185" s="41"/>
    </row>
    <row r="186" spans="1:29" s="1" customFormat="1" ht="13.5" customHeight="1">
      <c r="A186" s="7" t="s">
        <v>10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s="1" customFormat="1" ht="13.5" customHeight="1">
      <c r="A187" s="12" t="s">
        <v>235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s="1" customFormat="1" ht="45.75" customHeight="1">
      <c r="A188" s="13" t="s">
        <v>22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 t="s">
        <v>23</v>
      </c>
      <c r="N188" s="13"/>
      <c r="O188" s="13"/>
      <c r="P188" s="13" t="s">
        <v>236</v>
      </c>
      <c r="Q188" s="13"/>
      <c r="R188" s="13"/>
      <c r="S188" s="14" t="s">
        <v>25</v>
      </c>
      <c r="T188" s="14"/>
      <c r="U188" s="14"/>
      <c r="V188" s="14" t="s">
        <v>26</v>
      </c>
      <c r="W188" s="14"/>
      <c r="X188" s="14"/>
      <c r="Y188" s="14"/>
      <c r="Z188" s="14"/>
      <c r="AA188" s="15" t="s">
        <v>27</v>
      </c>
      <c r="AB188" s="15"/>
      <c r="AC188" s="15"/>
    </row>
    <row r="189" spans="1:29" s="1" customFormat="1" ht="12.75" customHeight="1">
      <c r="A189" s="16" t="s">
        <v>28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 t="s">
        <v>29</v>
      </c>
      <c r="N189" s="16"/>
      <c r="O189" s="16"/>
      <c r="P189" s="16" t="s">
        <v>30</v>
      </c>
      <c r="Q189" s="16"/>
      <c r="R189" s="16"/>
      <c r="S189" s="17" t="s">
        <v>31</v>
      </c>
      <c r="T189" s="17"/>
      <c r="U189" s="17"/>
      <c r="V189" s="17" t="s">
        <v>32</v>
      </c>
      <c r="W189" s="17"/>
      <c r="X189" s="17"/>
      <c r="Y189" s="17"/>
      <c r="Z189" s="17"/>
      <c r="AA189" s="18" t="s">
        <v>33</v>
      </c>
      <c r="AB189" s="18"/>
      <c r="AC189" s="18"/>
    </row>
    <row r="190" spans="1:29" s="1" customFormat="1" ht="13.5" customHeight="1">
      <c r="A190" s="19" t="s">
        <v>237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20" t="s">
        <v>238</v>
      </c>
      <c r="N190" s="20"/>
      <c r="O190" s="20"/>
      <c r="P190" s="20" t="s">
        <v>36</v>
      </c>
      <c r="Q190" s="20"/>
      <c r="R190" s="20"/>
      <c r="S190" s="42">
        <f>2718102.36</f>
        <v>2718102.36</v>
      </c>
      <c r="T190" s="42"/>
      <c r="U190" s="42"/>
      <c r="V190" s="21">
        <f>-932905.25</f>
        <v>-932905.25</v>
      </c>
      <c r="W190" s="21"/>
      <c r="X190" s="21"/>
      <c r="Y190" s="21"/>
      <c r="Z190" s="21"/>
      <c r="AA190" s="43" t="s">
        <v>36</v>
      </c>
      <c r="AB190" s="43"/>
      <c r="AC190" s="43"/>
    </row>
    <row r="191" spans="1:29" s="1" customFormat="1" ht="13.5" customHeight="1">
      <c r="A191" s="44" t="s">
        <v>239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5" t="s">
        <v>10</v>
      </c>
      <c r="N191" s="45"/>
      <c r="O191" s="45"/>
      <c r="P191" s="45" t="s">
        <v>10</v>
      </c>
      <c r="Q191" s="45"/>
      <c r="R191" s="45"/>
      <c r="S191" s="46" t="s">
        <v>10</v>
      </c>
      <c r="T191" s="46"/>
      <c r="U191" s="46"/>
      <c r="V191" s="47" t="s">
        <v>10</v>
      </c>
      <c r="W191" s="47"/>
      <c r="X191" s="47"/>
      <c r="Y191" s="47"/>
      <c r="Z191" s="47"/>
      <c r="AA191" s="48" t="s">
        <v>10</v>
      </c>
      <c r="AB191" s="48"/>
      <c r="AC191" s="48"/>
    </row>
    <row r="192" spans="1:29" s="1" customFormat="1" ht="13.5" customHeight="1">
      <c r="A192" s="23" t="s">
        <v>240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49" t="s">
        <v>241</v>
      </c>
      <c r="N192" s="49"/>
      <c r="O192" s="49"/>
      <c r="P192" s="24" t="s">
        <v>36</v>
      </c>
      <c r="Q192" s="24"/>
      <c r="R192" s="24"/>
      <c r="S192" s="50" t="s">
        <v>53</v>
      </c>
      <c r="T192" s="50"/>
      <c r="U192" s="50"/>
      <c r="V192" s="28" t="s">
        <v>53</v>
      </c>
      <c r="W192" s="28"/>
      <c r="X192" s="28"/>
      <c r="Y192" s="28"/>
      <c r="Z192" s="28"/>
      <c r="AA192" s="51" t="s">
        <v>53</v>
      </c>
      <c r="AB192" s="51"/>
      <c r="AC192" s="51"/>
    </row>
    <row r="193" spans="1:29" s="1" customFormat="1" ht="13.5" customHeight="1">
      <c r="A193" s="33" t="s">
        <v>10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</row>
    <row r="194" spans="1:29" s="1" customFormat="1" ht="13.5" customHeight="1">
      <c r="A194" s="31" t="s">
        <v>242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45" t="s">
        <v>243</v>
      </c>
      <c r="N194" s="45"/>
      <c r="O194" s="45"/>
      <c r="P194" s="45" t="s">
        <v>36</v>
      </c>
      <c r="Q194" s="45"/>
      <c r="R194" s="45"/>
      <c r="S194" s="46" t="s">
        <v>53</v>
      </c>
      <c r="T194" s="46"/>
      <c r="U194" s="46"/>
      <c r="V194" s="36" t="s">
        <v>53</v>
      </c>
      <c r="W194" s="36"/>
      <c r="X194" s="36"/>
      <c r="Y194" s="36"/>
      <c r="Z194" s="36"/>
      <c r="AA194" s="48" t="s">
        <v>53</v>
      </c>
      <c r="AB194" s="48"/>
      <c r="AC194" s="48"/>
    </row>
    <row r="195" spans="1:29" s="1" customFormat="1" ht="13.5" customHeight="1">
      <c r="A195" s="31" t="s">
        <v>10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2" t="s">
        <v>243</v>
      </c>
      <c r="N195" s="32"/>
      <c r="O195" s="32"/>
      <c r="P195" s="32" t="s">
        <v>10</v>
      </c>
      <c r="Q195" s="32"/>
      <c r="R195" s="32"/>
      <c r="S195" s="52" t="s">
        <v>53</v>
      </c>
      <c r="T195" s="52"/>
      <c r="U195" s="52"/>
      <c r="V195" s="36" t="s">
        <v>53</v>
      </c>
      <c r="W195" s="36"/>
      <c r="X195" s="36"/>
      <c r="Y195" s="36"/>
      <c r="Z195" s="36"/>
      <c r="AA195" s="53" t="s">
        <v>53</v>
      </c>
      <c r="AB195" s="53"/>
      <c r="AC195" s="53"/>
    </row>
    <row r="196" spans="1:29" s="1" customFormat="1" ht="13.5" customHeight="1">
      <c r="A196" s="31" t="s">
        <v>244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2" t="s">
        <v>245</v>
      </c>
      <c r="N196" s="32"/>
      <c r="O196" s="32"/>
      <c r="P196" s="32" t="s">
        <v>246</v>
      </c>
      <c r="Q196" s="32"/>
      <c r="R196" s="32"/>
      <c r="S196" s="54">
        <f>2718102.36</f>
        <v>2718102.36</v>
      </c>
      <c r="T196" s="54"/>
      <c r="U196" s="54"/>
      <c r="V196" s="34">
        <f>-932905.25</f>
        <v>-932905.25</v>
      </c>
      <c r="W196" s="34"/>
      <c r="X196" s="34"/>
      <c r="Y196" s="34"/>
      <c r="Z196" s="34"/>
      <c r="AA196" s="55">
        <f>3651007.61</f>
        <v>3651007.61</v>
      </c>
      <c r="AB196" s="55"/>
      <c r="AC196" s="55"/>
    </row>
    <row r="197" spans="1:29" s="1" customFormat="1" ht="13.5" customHeight="1">
      <c r="A197" s="31" t="s">
        <v>247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2" t="s">
        <v>248</v>
      </c>
      <c r="N197" s="32"/>
      <c r="O197" s="32"/>
      <c r="P197" s="32" t="s">
        <v>249</v>
      </c>
      <c r="Q197" s="32"/>
      <c r="R197" s="32"/>
      <c r="S197" s="54">
        <f>-51390682.06</f>
        <v>-51390682.06</v>
      </c>
      <c r="T197" s="54"/>
      <c r="U197" s="54"/>
      <c r="V197" s="34">
        <f>-35089335.39</f>
        <v>-35089335.39</v>
      </c>
      <c r="W197" s="34"/>
      <c r="X197" s="34"/>
      <c r="Y197" s="34"/>
      <c r="Z197" s="34"/>
      <c r="AA197" s="56" t="s">
        <v>36</v>
      </c>
      <c r="AB197" s="56"/>
      <c r="AC197" s="56"/>
    </row>
    <row r="198" spans="1:29" s="1" customFormat="1" ht="13.5" customHeight="1">
      <c r="A198" s="31" t="s">
        <v>250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2" t="s">
        <v>251</v>
      </c>
      <c r="N198" s="32"/>
      <c r="O198" s="32"/>
      <c r="P198" s="32" t="s">
        <v>252</v>
      </c>
      <c r="Q198" s="32"/>
      <c r="R198" s="32"/>
      <c r="S198" s="54">
        <f>54108784.42</f>
        <v>54108784.42</v>
      </c>
      <c r="T198" s="54"/>
      <c r="U198" s="54"/>
      <c r="V198" s="34">
        <f>34156430.14</f>
        <v>34156430.14</v>
      </c>
      <c r="W198" s="34"/>
      <c r="X198" s="34"/>
      <c r="Y198" s="34"/>
      <c r="Z198" s="34"/>
      <c r="AA198" s="56" t="s">
        <v>36</v>
      </c>
      <c r="AB198" s="56"/>
      <c r="AC198" s="56"/>
    </row>
    <row r="199" spans="1:29" s="1" customFormat="1" ht="13.5" customHeight="1">
      <c r="A199" s="58" t="s">
        <v>10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</row>
    <row r="200" spans="1:29" s="1" customFormat="1" ht="13.5" customHeight="1">
      <c r="A200" s="7" t="s">
        <v>253</v>
      </c>
      <c r="B200" s="7"/>
      <c r="C200" s="7"/>
      <c r="D200" s="7"/>
      <c r="E200" s="7"/>
      <c r="F200" s="7"/>
      <c r="G200" s="7"/>
      <c r="H200" s="7"/>
      <c r="I200" s="57" t="s">
        <v>10</v>
      </c>
      <c r="J200" s="57"/>
      <c r="K200" s="57"/>
      <c r="L200" s="57"/>
      <c r="M200" s="57"/>
      <c r="N200" s="57"/>
      <c r="O200" s="57"/>
      <c r="P200" s="57" t="s">
        <v>254</v>
      </c>
      <c r="Q200" s="57"/>
      <c r="R200" s="57"/>
      <c r="S200" s="57"/>
      <c r="T200" s="57"/>
      <c r="U200" s="7" t="s">
        <v>10</v>
      </c>
      <c r="V200" s="7"/>
      <c r="W200" s="7"/>
      <c r="X200" s="7"/>
      <c r="Y200" s="7"/>
      <c r="Z200" s="7"/>
      <c r="AA200" s="7"/>
      <c r="AB200" s="7"/>
      <c r="AC200" s="7"/>
    </row>
    <row r="201" spans="1:29" s="1" customFormat="1" ht="13.5" customHeight="1">
      <c r="A201" s="7" t="s">
        <v>10</v>
      </c>
      <c r="B201" s="7"/>
      <c r="C201" s="7"/>
      <c r="D201" s="7"/>
      <c r="E201" s="7"/>
      <c r="F201" s="7"/>
      <c r="G201" s="7"/>
      <c r="H201" s="7"/>
      <c r="I201" s="10" t="s">
        <v>10</v>
      </c>
      <c r="J201" s="59" t="s">
        <v>255</v>
      </c>
      <c r="K201" s="59"/>
      <c r="L201" s="59"/>
      <c r="M201" s="59"/>
      <c r="N201" s="7" t="s">
        <v>10</v>
      </c>
      <c r="O201" s="7"/>
      <c r="P201" s="10" t="s">
        <v>10</v>
      </c>
      <c r="Q201" s="59" t="s">
        <v>256</v>
      </c>
      <c r="R201" s="59"/>
      <c r="S201" s="59"/>
      <c r="T201" s="7" t="s">
        <v>10</v>
      </c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s="1" customFormat="1" ht="7.5" customHeight="1">
      <c r="A202" s="7" t="s">
        <v>10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s="1" customFormat="1" ht="13.5" customHeight="1">
      <c r="A203" s="7" t="s">
        <v>257</v>
      </c>
      <c r="B203" s="7"/>
      <c r="C203" s="7"/>
      <c r="D203" s="7"/>
      <c r="E203" s="7"/>
      <c r="F203" s="7"/>
      <c r="G203" s="7"/>
      <c r="H203" s="7"/>
      <c r="I203" s="57" t="s">
        <v>10</v>
      </c>
      <c r="J203" s="57"/>
      <c r="K203" s="57"/>
      <c r="L203" s="57"/>
      <c r="M203" s="57"/>
      <c r="N203" s="57"/>
      <c r="O203" s="57"/>
      <c r="P203" s="57" t="s">
        <v>258</v>
      </c>
      <c r="Q203" s="57"/>
      <c r="R203" s="57"/>
      <c r="S203" s="57"/>
      <c r="T203" s="57"/>
      <c r="U203" s="7" t="s">
        <v>10</v>
      </c>
      <c r="V203" s="7"/>
      <c r="W203" s="7"/>
      <c r="X203" s="7"/>
      <c r="Y203" s="7"/>
      <c r="Z203" s="7"/>
      <c r="AA203" s="7"/>
      <c r="AB203" s="7"/>
      <c r="AC203" s="7"/>
    </row>
    <row r="204" spans="1:29" s="1" customFormat="1" ht="13.5" customHeight="1">
      <c r="A204" s="7" t="s">
        <v>10</v>
      </c>
      <c r="B204" s="7"/>
      <c r="C204" s="7"/>
      <c r="D204" s="7"/>
      <c r="E204" s="7"/>
      <c r="F204" s="7"/>
      <c r="G204" s="7"/>
      <c r="H204" s="7"/>
      <c r="I204" s="10" t="s">
        <v>10</v>
      </c>
      <c r="J204" s="59" t="s">
        <v>255</v>
      </c>
      <c r="K204" s="59"/>
      <c r="L204" s="59"/>
      <c r="M204" s="59"/>
      <c r="N204" s="7" t="s">
        <v>10</v>
      </c>
      <c r="O204" s="7"/>
      <c r="P204" s="10" t="s">
        <v>10</v>
      </c>
      <c r="Q204" s="59" t="s">
        <v>256</v>
      </c>
      <c r="R204" s="59"/>
      <c r="S204" s="59"/>
      <c r="T204" s="7" t="s">
        <v>10</v>
      </c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s="1" customFormat="1" ht="7.5" customHeight="1">
      <c r="A205" s="7" t="s">
        <v>10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s="1" customFormat="1" ht="13.5" customHeight="1">
      <c r="A206" s="7" t="s">
        <v>259</v>
      </c>
      <c r="B206" s="7"/>
      <c r="C206" s="57" t="s">
        <v>257</v>
      </c>
      <c r="D206" s="57"/>
      <c r="E206" s="57"/>
      <c r="F206" s="57"/>
      <c r="G206" s="57"/>
      <c r="H206" s="57"/>
      <c r="I206" s="57" t="s">
        <v>10</v>
      </c>
      <c r="J206" s="57"/>
      <c r="K206" s="57"/>
      <c r="L206" s="57"/>
      <c r="M206" s="57"/>
      <c r="N206" s="57"/>
      <c r="O206" s="57"/>
      <c r="P206" s="57" t="s">
        <v>258</v>
      </c>
      <c r="Q206" s="57"/>
      <c r="R206" s="57"/>
      <c r="S206" s="57"/>
      <c r="T206" s="57"/>
      <c r="U206" s="7" t="s">
        <v>10</v>
      </c>
      <c r="V206" s="7"/>
      <c r="W206" s="7"/>
      <c r="X206" s="7"/>
      <c r="Y206" s="7"/>
      <c r="Z206" s="7"/>
      <c r="AA206" s="7"/>
      <c r="AB206" s="7"/>
      <c r="AC206" s="7"/>
    </row>
    <row r="207" spans="1:29" s="1" customFormat="1" ht="13.5" customHeight="1">
      <c r="A207" s="7" t="s">
        <v>10</v>
      </c>
      <c r="B207" s="7"/>
      <c r="C207" s="10" t="s">
        <v>10</v>
      </c>
      <c r="D207" s="59" t="s">
        <v>260</v>
      </c>
      <c r="E207" s="59"/>
      <c r="F207" s="59"/>
      <c r="G207" s="59"/>
      <c r="H207" s="10" t="s">
        <v>10</v>
      </c>
      <c r="I207" s="10" t="s">
        <v>10</v>
      </c>
      <c r="J207" s="59" t="s">
        <v>255</v>
      </c>
      <c r="K207" s="59"/>
      <c r="L207" s="59"/>
      <c r="M207" s="59"/>
      <c r="N207" s="7" t="s">
        <v>10</v>
      </c>
      <c r="O207" s="7"/>
      <c r="P207" s="10" t="s">
        <v>10</v>
      </c>
      <c r="Q207" s="59" t="s">
        <v>256</v>
      </c>
      <c r="R207" s="59"/>
      <c r="S207" s="59"/>
      <c r="T207" s="7" t="s">
        <v>10</v>
      </c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s="1" customFormat="1" ht="15.75" customHeight="1">
      <c r="A208" s="7" t="s">
        <v>10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s="1" customFormat="1" ht="13.5" customHeight="1">
      <c r="A209" s="60" t="s">
        <v>261</v>
      </c>
      <c r="B209" s="60"/>
      <c r="C209" s="60"/>
      <c r="D209" s="60"/>
      <c r="E209" s="60"/>
      <c r="F209" s="60"/>
      <c r="G209" s="60"/>
      <c r="H209" s="60"/>
      <c r="I209" s="60"/>
      <c r="J209" s="60"/>
      <c r="K209" s="7" t="s">
        <v>10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s="1" customFormat="1" ht="13.5" customHeight="1">
      <c r="A210" s="4" t="s">
        <v>262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</sheetData>
  <sheetProtection/>
  <mergeCells count="1305">
    <mergeCell ref="A208:AC208"/>
    <mergeCell ref="A209:J209"/>
    <mergeCell ref="K209:AC209"/>
    <mergeCell ref="A210:AC210"/>
    <mergeCell ref="A207:B207"/>
    <mergeCell ref="D207:G207"/>
    <mergeCell ref="J207:M207"/>
    <mergeCell ref="N207:O207"/>
    <mergeCell ref="Q207:S207"/>
    <mergeCell ref="T207:AC207"/>
    <mergeCell ref="A205:AC205"/>
    <mergeCell ref="A206:B206"/>
    <mergeCell ref="C206:H206"/>
    <mergeCell ref="I206:O206"/>
    <mergeCell ref="P206:T206"/>
    <mergeCell ref="U206:AC206"/>
    <mergeCell ref="A202:AC202"/>
    <mergeCell ref="A203:H203"/>
    <mergeCell ref="I203:O203"/>
    <mergeCell ref="P203:T203"/>
    <mergeCell ref="U203:AC203"/>
    <mergeCell ref="A204:H204"/>
    <mergeCell ref="J204:M204"/>
    <mergeCell ref="N204:O204"/>
    <mergeCell ref="Q204:S204"/>
    <mergeCell ref="T204:AC204"/>
    <mergeCell ref="A199:AC199"/>
    <mergeCell ref="A200:H200"/>
    <mergeCell ref="I200:O200"/>
    <mergeCell ref="P200:T200"/>
    <mergeCell ref="U200:AC200"/>
    <mergeCell ref="A201:H201"/>
    <mergeCell ref="J201:M201"/>
    <mergeCell ref="N201:O201"/>
    <mergeCell ref="Q201:S201"/>
    <mergeCell ref="T201:AC201"/>
    <mergeCell ref="A198:L198"/>
    <mergeCell ref="M198:O198"/>
    <mergeCell ref="P198:R198"/>
    <mergeCell ref="S198:U198"/>
    <mergeCell ref="V198:Z198"/>
    <mergeCell ref="AA198:AC198"/>
    <mergeCell ref="A197:L197"/>
    <mergeCell ref="M197:O197"/>
    <mergeCell ref="P197:R197"/>
    <mergeCell ref="S197:U197"/>
    <mergeCell ref="V197:Z197"/>
    <mergeCell ref="AA197:AC197"/>
    <mergeCell ref="A196:L196"/>
    <mergeCell ref="M196:O196"/>
    <mergeCell ref="P196:R196"/>
    <mergeCell ref="S196:U196"/>
    <mergeCell ref="V196:Z196"/>
    <mergeCell ref="AA196:AC196"/>
    <mergeCell ref="A195:L195"/>
    <mergeCell ref="M195:O195"/>
    <mergeCell ref="P195:R195"/>
    <mergeCell ref="S195:U195"/>
    <mergeCell ref="V195:Z195"/>
    <mergeCell ref="AA195:AC195"/>
    <mergeCell ref="A193:AC193"/>
    <mergeCell ref="A194:L194"/>
    <mergeCell ref="M194:O194"/>
    <mergeCell ref="P194:R194"/>
    <mergeCell ref="S194:U194"/>
    <mergeCell ref="V194:Z194"/>
    <mergeCell ref="AA194:AC194"/>
    <mergeCell ref="A192:L192"/>
    <mergeCell ref="M192:O192"/>
    <mergeCell ref="P192:R192"/>
    <mergeCell ref="S192:U192"/>
    <mergeCell ref="V192:Z192"/>
    <mergeCell ref="AA192:AC192"/>
    <mergeCell ref="A191:L191"/>
    <mergeCell ref="M191:O191"/>
    <mergeCell ref="P191:R191"/>
    <mergeCell ref="S191:U191"/>
    <mergeCell ref="V191:Z191"/>
    <mergeCell ref="AA191:AC191"/>
    <mergeCell ref="A190:L190"/>
    <mergeCell ref="M190:O190"/>
    <mergeCell ref="P190:R190"/>
    <mergeCell ref="S190:U190"/>
    <mergeCell ref="V190:Z190"/>
    <mergeCell ref="AA190:AC190"/>
    <mergeCell ref="A189:L189"/>
    <mergeCell ref="M189:O189"/>
    <mergeCell ref="P189:R189"/>
    <mergeCell ref="S189:U189"/>
    <mergeCell ref="V189:Z189"/>
    <mergeCell ref="AA189:AC189"/>
    <mergeCell ref="AB185:AC185"/>
    <mergeCell ref="A186:AC186"/>
    <mergeCell ref="A187:AC187"/>
    <mergeCell ref="A188:L188"/>
    <mergeCell ref="M188:O188"/>
    <mergeCell ref="P188:R188"/>
    <mergeCell ref="S188:U188"/>
    <mergeCell ref="V188:Z188"/>
    <mergeCell ref="AA188:AC188"/>
    <mergeCell ref="A185:K185"/>
    <mergeCell ref="L185:N185"/>
    <mergeCell ref="O185:Q185"/>
    <mergeCell ref="R185:S185"/>
    <mergeCell ref="T185:V185"/>
    <mergeCell ref="W185:AA185"/>
    <mergeCell ref="AB183:AC183"/>
    <mergeCell ref="A184:K184"/>
    <mergeCell ref="L184:N184"/>
    <mergeCell ref="O184:Q184"/>
    <mergeCell ref="R184:S184"/>
    <mergeCell ref="T184:V184"/>
    <mergeCell ref="W184:AA184"/>
    <mergeCell ref="AB184:AC184"/>
    <mergeCell ref="A183:K183"/>
    <mergeCell ref="L183:N183"/>
    <mergeCell ref="O183:Q183"/>
    <mergeCell ref="R183:S183"/>
    <mergeCell ref="T183:V183"/>
    <mergeCell ref="W183:AA183"/>
    <mergeCell ref="AB181:AC181"/>
    <mergeCell ref="A182:K182"/>
    <mergeCell ref="L182:N182"/>
    <mergeCell ref="O182:Q182"/>
    <mergeCell ref="R182:S182"/>
    <mergeCell ref="T182:V182"/>
    <mergeCell ref="W182:AA182"/>
    <mergeCell ref="AB182:AC182"/>
    <mergeCell ref="A181:K181"/>
    <mergeCell ref="L181:N181"/>
    <mergeCell ref="O181:Q181"/>
    <mergeCell ref="R181:S181"/>
    <mergeCell ref="T181:V181"/>
    <mergeCell ref="W181:AA181"/>
    <mergeCell ref="AB179:AC179"/>
    <mergeCell ref="A180:K180"/>
    <mergeCell ref="L180:N180"/>
    <mergeCell ref="O180:Q180"/>
    <mergeCell ref="R180:S180"/>
    <mergeCell ref="T180:V180"/>
    <mergeCell ref="W180:AA180"/>
    <mergeCell ref="AB180:AC180"/>
    <mergeCell ref="A179:K179"/>
    <mergeCell ref="L179:N179"/>
    <mergeCell ref="O179:Q179"/>
    <mergeCell ref="R179:S179"/>
    <mergeCell ref="T179:V179"/>
    <mergeCell ref="W179:AA179"/>
    <mergeCell ref="AB177:AC177"/>
    <mergeCell ref="A178:K178"/>
    <mergeCell ref="L178:N178"/>
    <mergeCell ref="O178:Q178"/>
    <mergeCell ref="R178:S178"/>
    <mergeCell ref="T178:V178"/>
    <mergeCell ref="W178:AA178"/>
    <mergeCell ref="AB178:AC178"/>
    <mergeCell ref="A177:K177"/>
    <mergeCell ref="L177:N177"/>
    <mergeCell ref="O177:Q177"/>
    <mergeCell ref="R177:S177"/>
    <mergeCell ref="T177:V177"/>
    <mergeCell ref="W177:AA177"/>
    <mergeCell ref="AB175:AC175"/>
    <mergeCell ref="A176:K176"/>
    <mergeCell ref="L176:N176"/>
    <mergeCell ref="O176:Q176"/>
    <mergeCell ref="R176:S176"/>
    <mergeCell ref="T176:V176"/>
    <mergeCell ref="W176:AA176"/>
    <mergeCell ref="AB176:AC176"/>
    <mergeCell ref="A175:K175"/>
    <mergeCell ref="L175:N175"/>
    <mergeCell ref="O175:Q175"/>
    <mergeCell ref="R175:S175"/>
    <mergeCell ref="T175:V175"/>
    <mergeCell ref="W175:AA175"/>
    <mergeCell ref="AB173:AC173"/>
    <mergeCell ref="A174:K174"/>
    <mergeCell ref="L174:N174"/>
    <mergeCell ref="O174:Q174"/>
    <mergeCell ref="R174:S174"/>
    <mergeCell ref="T174:V174"/>
    <mergeCell ref="W174:AA174"/>
    <mergeCell ref="AB174:AC174"/>
    <mergeCell ref="A173:K173"/>
    <mergeCell ref="L173:N173"/>
    <mergeCell ref="O173:Q173"/>
    <mergeCell ref="R173:S173"/>
    <mergeCell ref="T173:V173"/>
    <mergeCell ref="W173:AA173"/>
    <mergeCell ref="AB171:AC171"/>
    <mergeCell ref="A172:K172"/>
    <mergeCell ref="L172:N172"/>
    <mergeCell ref="O172:Q172"/>
    <mergeCell ref="R172:S172"/>
    <mergeCell ref="T172:V172"/>
    <mergeCell ref="W172:AA172"/>
    <mergeCell ref="AB172:AC172"/>
    <mergeCell ref="A171:K171"/>
    <mergeCell ref="L171:N171"/>
    <mergeCell ref="O171:Q171"/>
    <mergeCell ref="R171:S171"/>
    <mergeCell ref="T171:V171"/>
    <mergeCell ref="W171:AA171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40:AC40"/>
    <mergeCell ref="A41:AC41"/>
    <mergeCell ref="A42:K42"/>
    <mergeCell ref="L42:N42"/>
    <mergeCell ref="O42:Q42"/>
    <mergeCell ref="R42:S42"/>
    <mergeCell ref="T42:V42"/>
    <mergeCell ref="W42:AA42"/>
    <mergeCell ref="AB42:AC42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8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2021-11-09T04:53:54Z</dcterms:created>
  <dcterms:modified xsi:type="dcterms:W3CDTF">2021-11-09T04:53:54Z</dcterms:modified>
  <cp:category/>
  <cp:version/>
  <cp:contentType/>
  <cp:contentStatus/>
</cp:coreProperties>
</file>