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<sst xmlns="http://schemas.openxmlformats.org/spreadsheetml/2006/main" count="826" uniqueCount="266">
  <si>
    <t>ОТЧЕТ ОБ ИСПОЛНЕНИИ БЮДЖЕТА</t>
  </si>
  <si>
    <t>КОДЫ</t>
  </si>
  <si>
    <t xml:space="preserve">Форма по ОКУД </t>
  </si>
  <si>
    <t>0503117</t>
  </si>
  <si>
    <t>на 1 ноября 2021 г.</t>
  </si>
  <si>
    <t xml:space="preserve">Дата </t>
  </si>
  <si>
    <t>Наименование финансового органа</t>
  </si>
  <si>
    <t>АДМИНИСТРАЦИЯ ГОРОДСКОГО ПОСЕЛЕНИЯ КУМИНСКИЙ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</si>
  <si>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</si>
  <si>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</si>
  <si>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</si>
  <si>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</si>
  <si>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городского поселения Куминский</t>
  </si>
  <si>
    <t xml:space="preserve">по ОКТМО </t>
  </si>
  <si>
    <t>71816154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</si>
  <si>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</si>
  <si>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</si>
  <si>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</si>
  <si>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</si>
  <si>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</si>
  <si>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</si>
  <si>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</si>
  <si>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</si>
  <si>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</si>
  <si>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</si>
  <si>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</si>
  <si>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</si>
  <si>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</si>
  <si>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</si>
  <si>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</si>
  <si>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</si>
  <si>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</si>
  <si>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</si>
  <si>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</si>
  <si>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</si>
  <si>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</si>
  <si>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</si>
  <si>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</si>
  <si>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</si>
  <si>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</si>
  <si>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</si>
  <si>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</si>
  <si>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</si>
  <si>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</si>
  <si>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</si>
  <si>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-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</si>
  <si>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</si>
  <si>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</si>
  <si>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</si>
  <si>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</si>
  <si>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</si>
  <si>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</si>
  <si>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</si>
  <si>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</si>
  <si>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</si>
  <si>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</si>
  <si>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</si>
  <si>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</si>
  <si>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</si>
  <si>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</si>
  <si>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</si>
  <si>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</si>
  <si>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</si>
  <si>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</si>
  <si>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</si>
  <si>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</si>
  <si>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</si>
  <si>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</si>
  <si>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</si>
  <si>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</si>
  <si>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</si>
  <si>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650 10807175 01 0000 110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</si>
  <si>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</si>
  <si>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</si>
  <si>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</si>
  <si>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</si>
  <si>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</si>
  <si>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</si>
  <si>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</si>
  <si>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</si>
  <si>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Прочие неналоговые доходы бюджетов городских поселений</t>
  </si>
  <si>
    <t>650 11705050 13 0000 180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</si>
  <si>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</si>
  <si>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650 20215001 13 0000 150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</si>
  <si>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</si>
  <si>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</si>
  <si>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</si>
  <si>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</si>
  <si>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</si>
  <si>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</si>
  <si>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</si>
  <si>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</si>
  <si>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</si>
  <si>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</si>
  <si>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</si>
  <si>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</si>
  <si>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</si>
  <si>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</si>
  <si>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</si>
  <si>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650 0102 1041102030 121</t>
  </si>
  <si>
    <t>211</t>
  </si>
  <si>
    <t>Начисления на выплаты по оплате труда</t>
  </si>
  <si>
    <t>650 0102 1041102030 129</t>
  </si>
  <si>
    <t>213</t>
  </si>
  <si>
    <t>650 0104 1041202040 121</t>
  </si>
  <si>
    <t>Социальные пособия и компенсации персоналу в денежной форме</t>
  </si>
  <si>
    <t>266</t>
  </si>
  <si>
    <t>Прочие несоциальные выплаты персоналу в натуральной форме</t>
  </si>
  <si>
    <t>650 0104 1041202040 122</t>
  </si>
  <si>
    <t>214</t>
  </si>
  <si>
    <t>Прочие работы, услуги</t>
  </si>
  <si>
    <t>226</t>
  </si>
  <si>
    <t>Социальные компенсации персоналу в натуральной форме</t>
  </si>
  <si>
    <t>267</t>
  </si>
  <si>
    <t>650 0104 1041202040 129</t>
  </si>
  <si>
    <t>Перечисления другим бюджетам бюджетной системы Российской Федерации</t>
  </si>
  <si>
    <t>650 0104 1041202040 540</t>
  </si>
  <si>
    <t>251</t>
  </si>
  <si>
    <t>Расходы</t>
  </si>
  <si>
    <t>650 0111 1014707050 870</t>
  </si>
  <si>
    <t>650 0113 1014202400 244</t>
  </si>
  <si>
    <t>650 0113 1014400590 244</t>
  </si>
  <si>
    <t>650 0113 1014402400 244</t>
  </si>
  <si>
    <t>650 0113 1014502400 244</t>
  </si>
  <si>
    <t>Увеличение стоимости прочих материальных запасов однократного применения</t>
  </si>
  <si>
    <t>650 0113 1014802400 244</t>
  </si>
  <si>
    <t>349</t>
  </si>
  <si>
    <t>650 0113 1041300590 111</t>
  </si>
  <si>
    <t>650 0113 1041300590 112</t>
  </si>
  <si>
    <t>650 0113 1041300590 119</t>
  </si>
  <si>
    <t>Услуги связи</t>
  </si>
  <si>
    <t>650 0113 1041400590 244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</si>
  <si>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</si>
  <si>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</si>
  <si>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</si>
  <si>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</si>
  <si>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</si>
  <si>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</si>
  <si>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</si>
  <si>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лекарственных препаратов и материалов, применяемых в медицинских целях</t>
  </si>
  <si>
    <t>341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</si>
  <si>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</si>
  <si>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</si>
  <si>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</si>
  <si>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</si>
  <si>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прочих материальных запасов</t>
  </si>
  <si>
    <t>346</t>
  </si>
  <si>
    <t>650 0113 1041400590 247</t>
  </si>
  <si>
    <t>650 0113 1041402400 244</t>
  </si>
  <si>
    <t>Страхование</t>
  </si>
  <si>
    <t>227</t>
  </si>
  <si>
    <t>Увеличение стоимости нематериальных активов</t>
  </si>
  <si>
    <t>320</t>
  </si>
  <si>
    <t>Налоги, пошлины и сборы</t>
  </si>
  <si>
    <t>650 0113 1041402400 852</t>
  </si>
  <si>
    <t>291</t>
  </si>
  <si>
    <t>Другие экономические санкции</t>
  </si>
  <si>
    <t>650 0113 6000002400 853</t>
  </si>
  <si>
    <t>295</t>
  </si>
  <si>
    <t>Арендная плата за пользование имуществом (за исключением земельных участков и других обособленных природных объектов)</t>
  </si>
  <si>
    <t>650 0113 6000079990 244</t>
  </si>
  <si>
    <t>224</t>
  </si>
  <si>
    <t>650 0203 1043151180 121</t>
  </si>
  <si>
    <t>650 0203 1043151180 122</t>
  </si>
  <si>
    <t>650 0203 1043151180 129</t>
  </si>
  <si>
    <t>650 0304 1043259300 121</t>
  </si>
  <si>
    <t>650 0304 1043259300 129</t>
  </si>
  <si>
    <t>650 0304 10432D9300 121</t>
  </si>
  <si>
    <t>650 0304 10432D9300 129</t>
  </si>
  <si>
    <t>650 0310 1522300590 244</t>
  </si>
  <si>
    <t>650 0314 1211500590 244</t>
  </si>
  <si>
    <t>650 0314 1221182300 123</t>
  </si>
  <si>
    <t>650 0314 1221182300 244</t>
  </si>
  <si>
    <t>650 0314 12211S2300 123</t>
  </si>
  <si>
    <t>650 0314 12211S2300 244</t>
  </si>
  <si>
    <t>650 0401 1042175060 111</t>
  </si>
  <si>
    <t>650 0401 1042175060 119</t>
  </si>
  <si>
    <t>650 0401 1042185060 111</t>
  </si>
  <si>
    <t>650 0401 1042185060 119</t>
  </si>
  <si>
    <t>650 0405 1044184200 121</t>
  </si>
  <si>
    <t>650 0405 1044184200 129</t>
  </si>
  <si>
    <t>650 0405 1044184200 244</t>
  </si>
  <si>
    <t>650 0405 1044194200 244</t>
  </si>
  <si>
    <t>650 0409 1111192400 244</t>
  </si>
  <si>
    <t>650 0409 1111292400 244</t>
  </si>
  <si>
    <t>650 0409 1111392400 244</t>
  </si>
  <si>
    <t>650 0409 1111492400 247</t>
  </si>
  <si>
    <t>650 0409 1111589190 244</t>
  </si>
  <si>
    <t>650 0409 1111592400 244</t>
  </si>
  <si>
    <t>650 0409 1111689190 244</t>
  </si>
  <si>
    <t>650 0409 1111692400 244</t>
  </si>
  <si>
    <t>650 0409 1111792400 244</t>
  </si>
  <si>
    <t>650 0409 1112192400 244</t>
  </si>
  <si>
    <t>650 0501 1321102400 244</t>
  </si>
  <si>
    <t>650 0501 1341102400 244</t>
  </si>
  <si>
    <t>650 0501 1351102400 244</t>
  </si>
  <si>
    <t>650 0501 1351102400 247</t>
  </si>
  <si>
    <t>650 0501 1351302400 244</t>
  </si>
  <si>
    <t>650 0501 6000002400 244</t>
  </si>
  <si>
    <t>650 0502 1361202400 244</t>
  </si>
  <si>
    <t>650 0503 1421500590 244</t>
  </si>
  <si>
    <t>Транспортные услуги</t>
  </si>
  <si>
    <t>650 0503 1421600590 244</t>
  </si>
  <si>
    <t>222</t>
  </si>
  <si>
    <t>650 0503 1431100590 244</t>
  </si>
  <si>
    <t>650 0503 1431200590 244</t>
  </si>
  <si>
    <t>Увеличение стоимости материальных запасов для целей капитальных вложений</t>
  </si>
  <si>
    <t>347</t>
  </si>
  <si>
    <t>650 0503 1431300590 244</t>
  </si>
  <si>
    <t>650 0503 1431400590 244</t>
  </si>
  <si>
    <t>650 0503 1432200590 244</t>
  </si>
  <si>
    <t>650 0505 1041202040 540</t>
  </si>
  <si>
    <t>650 0707 0913100590 111</t>
  </si>
  <si>
    <t>650 0707 0913100590 119</t>
  </si>
  <si>
    <t>650 0707 1042170145 111</t>
  </si>
  <si>
    <t>650 0707 1042170145 119</t>
  </si>
  <si>
    <t>650 0707 1042170145 244</t>
  </si>
  <si>
    <t>650 0801 0911200590 244</t>
  </si>
  <si>
    <t>650 0801 0911300590 244</t>
  </si>
  <si>
    <t>650 0801 0911385160 244</t>
  </si>
  <si>
    <t>650 0801 0912200590 244</t>
  </si>
  <si>
    <t>650 0801 0913100590 111</t>
  </si>
  <si>
    <t>Прочие несоциальные выплаты персоналу в денежной форме</t>
  </si>
  <si>
    <t>650 0801 0913100590 112</t>
  </si>
  <si>
    <t>212</t>
  </si>
  <si>
    <t>650 0801 0913100590 119</t>
  </si>
  <si>
    <t>650 0801 0913100590 244</t>
  </si>
  <si>
    <t>650 0801 0913100590 247</t>
  </si>
  <si>
    <t>650 0801 0913272580 111</t>
  </si>
  <si>
    <t>650 0801 0913272580 119</t>
  </si>
  <si>
    <t>650 0801 0921100590 244</t>
  </si>
  <si>
    <t>650 0801 0921170050 244</t>
  </si>
  <si>
    <t>Пенсии, пособия, выплачиваемые работодателями, нанимателями бывшим работникам</t>
  </si>
  <si>
    <t>650 1001 1021100220 312</t>
  </si>
  <si>
    <t>264</t>
  </si>
  <si>
    <t>650 1102 1014600040 244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</si>
  <si>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</si>
  <si>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</si>
  <si>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</si>
  <si>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</si>
  <si>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</si>
  <si>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</si>
  <si>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</si>
  <si>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</si>
  <si>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</si>
  <si>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</si>
  <si>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</si>
  <si>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</si>
  <si>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</si>
  <si>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</si>
  <si>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</si>
  <si>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</si>
  <si>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</si>
  <si>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</si>
  <si>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</si>
  <si>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</si>
  <si>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глава городского поселения Куминский</t>
  </si>
  <si>
    <t>С. А. Грубцов</t>
  </si>
  <si>
    <t>(подпись)</t>
  </si>
  <si>
    <t>(расшифровка подписи)</t>
  </si>
  <si>
    <t>начальник отдела</t>
  </si>
  <si>
    <t>А. Н. Шепелина</t>
  </si>
  <si>
    <t>Исполнитель:</t>
  </si>
  <si>
    <t>(должность)</t>
  </si>
  <si>
    <t xml:space="preserve">   9 ноября 2021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</si>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</sst>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11"/>
  <sheetViews>
    <sheetView tabSelected="1" zoomScalePageLayoutView="0" workbookViewId="0" topLeftCell="A1">
      <selection activeCell="A1" sqref="A1:AB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 t="s">
        <v>1</v>
      </c>
    </row>
    <row r="2" spans="1:29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 t="s">
        <v>3</v>
      </c>
    </row>
    <row r="3" spans="1:29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" t="s">
        <v>5</v>
      </c>
      <c r="AA3" s="4"/>
      <c r="AB3" s="4"/>
      <c r="AC3" s="6">
        <v>44501</v>
      </c>
    </row>
    <row r="4" spans="1:29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" t="s">
        <v>8</v>
      </c>
      <c r="Z4" s="4"/>
      <c r="AA4" s="4"/>
      <c r="AB4" s="4"/>
      <c r="AC4" s="9" t="s">
        <v>10</v>
      </c>
    </row>
    <row r="5" spans="1:29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4" t="s">
        <v>9</v>
      </c>
      <c r="Z5" s="4"/>
      <c r="AA5" s="4"/>
      <c r="AB5" s="4"/>
      <c r="AC5" s="9" t="s">
        <v>10</v>
      </c>
    </row>
    <row r="6" spans="1:29" s="1" customFormat="1" ht="13.5" customHeight="1">
      <c r="A6" s="7" t="s">
        <v>11</v>
      </c>
      <c r="B6" s="7"/>
      <c r="C6" s="7"/>
      <c r="D6" s="7"/>
      <c r="E6" s="7"/>
      <c r="F6" s="7"/>
      <c r="G6" s="8" t="s">
        <v>12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4" t="s">
        <v>13</v>
      </c>
      <c r="Z6" s="4"/>
      <c r="AA6" s="4"/>
      <c r="AB6" s="4"/>
      <c r="AC6" s="9" t="s">
        <v>14</v>
      </c>
    </row>
    <row r="7" spans="1:29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9" t="s">
        <v>10</v>
      </c>
    </row>
    <row r="8" spans="1:29" s="1" customFormat="1" ht="13.5" customHeight="1">
      <c r="A8" s="7" t="s">
        <v>17</v>
      </c>
      <c r="B8" s="7"/>
      <c r="C8" s="7"/>
      <c r="D8" s="7"/>
      <c r="E8" s="7" t="s">
        <v>18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4" t="s">
        <v>19</v>
      </c>
      <c r="Y8" s="4"/>
      <c r="Z8" s="4"/>
      <c r="AA8" s="4"/>
      <c r="AB8" s="4"/>
      <c r="AC8" s="11" t="s">
        <v>20</v>
      </c>
    </row>
    <row r="9" spans="1:29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23</v>
      </c>
      <c r="N10" s="13"/>
      <c r="O10" s="13"/>
      <c r="P10" s="13" t="s">
        <v>24</v>
      </c>
      <c r="Q10" s="13"/>
      <c r="R10" s="13"/>
      <c r="S10" s="14" t="s">
        <v>25</v>
      </c>
      <c r="T10" s="14"/>
      <c r="U10" s="14"/>
      <c r="V10" s="14" t="s">
        <v>26</v>
      </c>
      <c r="W10" s="14"/>
      <c r="X10" s="14"/>
      <c r="Y10" s="14"/>
      <c r="Z10" s="14"/>
      <c r="AA10" s="15" t="s">
        <v>27</v>
      </c>
      <c r="AB10" s="15"/>
      <c r="AC10" s="15"/>
    </row>
    <row r="11" spans="1:29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29</v>
      </c>
      <c r="N11" s="16"/>
      <c r="O11" s="16"/>
      <c r="P11" s="16" t="s">
        <v>30</v>
      </c>
      <c r="Q11" s="16"/>
      <c r="R11" s="16"/>
      <c r="S11" s="17" t="s">
        <v>31</v>
      </c>
      <c r="T11" s="17"/>
      <c r="U11" s="17"/>
      <c r="V11" s="17" t="s">
        <v>32</v>
      </c>
      <c r="W11" s="17"/>
      <c r="X11" s="17"/>
      <c r="Y11" s="17"/>
      <c r="Z11" s="17"/>
      <c r="AA11" s="18" t="s">
        <v>33</v>
      </c>
      <c r="AB11" s="18"/>
      <c r="AC11" s="18"/>
    </row>
    <row r="12" spans="1:29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35</v>
      </c>
      <c r="N12" s="20"/>
      <c r="O12" s="20"/>
      <c r="P12" s="20" t="s">
        <v>36</v>
      </c>
      <c r="Q12" s="20"/>
      <c r="R12" s="20"/>
      <c r="S12" s="21">
        <f>52083408.2</f>
        <v>52083408.2</v>
      </c>
      <c r="T12" s="21"/>
      <c r="U12" s="21"/>
      <c r="V12" s="21">
        <f>43772412.42</f>
        <v>43772412.42</v>
      </c>
      <c r="W12" s="21"/>
      <c r="X12" s="21"/>
      <c r="Y12" s="21"/>
      <c r="Z12" s="21"/>
      <c r="AA12" s="22">
        <f>8310995.78</f>
        <v>8310995.78</v>
      </c>
      <c r="AB12" s="22"/>
      <c r="AC12" s="22"/>
    </row>
    <row r="13" spans="1:29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35</v>
      </c>
      <c r="N13" s="24"/>
      <c r="O13" s="24"/>
      <c r="P13" s="24" t="s">
        <v>38</v>
      </c>
      <c r="Q13" s="24"/>
      <c r="R13" s="24"/>
      <c r="S13" s="25">
        <f>210000</f>
        <v>210000</v>
      </c>
      <c r="T13" s="25"/>
      <c r="U13" s="25"/>
      <c r="V13" s="25">
        <f>202437.17</f>
        <v>202437.17</v>
      </c>
      <c r="W13" s="25"/>
      <c r="X13" s="25"/>
      <c r="Y13" s="25"/>
      <c r="Z13" s="25"/>
      <c r="AA13" s="26">
        <f>7562.83</f>
        <v>7562.83</v>
      </c>
      <c r="AB13" s="26"/>
      <c r="AC13" s="26"/>
    </row>
    <row r="14" spans="1:29" s="1" customFormat="1" ht="33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35</v>
      </c>
      <c r="N14" s="24"/>
      <c r="O14" s="24"/>
      <c r="P14" s="24" t="s">
        <v>40</v>
      </c>
      <c r="Q14" s="24"/>
      <c r="R14" s="24"/>
      <c r="S14" s="25">
        <f>340000</f>
        <v>340000</v>
      </c>
      <c r="T14" s="25"/>
      <c r="U14" s="25"/>
      <c r="V14" s="25">
        <f>335029.13</f>
        <v>335029.13</v>
      </c>
      <c r="W14" s="25"/>
      <c r="X14" s="25"/>
      <c r="Y14" s="25"/>
      <c r="Z14" s="25"/>
      <c r="AA14" s="26">
        <f>4970.87</f>
        <v>4970.87</v>
      </c>
      <c r="AB14" s="26"/>
      <c r="AC14" s="26"/>
    </row>
    <row r="15" spans="1:29" s="1" customFormat="1" ht="66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35</v>
      </c>
      <c r="N15" s="24"/>
      <c r="O15" s="24"/>
      <c r="P15" s="24" t="s">
        <v>42</v>
      </c>
      <c r="Q15" s="24"/>
      <c r="R15" s="24"/>
      <c r="S15" s="25">
        <f>2142300</f>
        <v>2142300</v>
      </c>
      <c r="T15" s="25"/>
      <c r="U15" s="25"/>
      <c r="V15" s="25">
        <f>1779705.34</f>
        <v>1779705.34</v>
      </c>
      <c r="W15" s="25"/>
      <c r="X15" s="25"/>
      <c r="Y15" s="25"/>
      <c r="Z15" s="25"/>
      <c r="AA15" s="26">
        <f>362594.66</f>
        <v>362594.66</v>
      </c>
      <c r="AB15" s="26"/>
      <c r="AC15" s="26"/>
    </row>
    <row r="16" spans="1:29" s="1" customFormat="1" ht="75.75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35</v>
      </c>
      <c r="N16" s="24"/>
      <c r="O16" s="24"/>
      <c r="P16" s="24" t="s">
        <v>44</v>
      </c>
      <c r="Q16" s="24"/>
      <c r="R16" s="24"/>
      <c r="S16" s="25">
        <f>12210</f>
        <v>12210</v>
      </c>
      <c r="T16" s="25"/>
      <c r="U16" s="25"/>
      <c r="V16" s="25">
        <f>12724.65</f>
        <v>12724.65</v>
      </c>
      <c r="W16" s="25"/>
      <c r="X16" s="25"/>
      <c r="Y16" s="25"/>
      <c r="Z16" s="25"/>
      <c r="AA16" s="27" t="s">
        <v>45</v>
      </c>
      <c r="AB16" s="27"/>
      <c r="AC16" s="27"/>
    </row>
    <row r="17" spans="1:29" s="1" customFormat="1" ht="66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35</v>
      </c>
      <c r="N17" s="24"/>
      <c r="O17" s="24"/>
      <c r="P17" s="24" t="s">
        <v>47</v>
      </c>
      <c r="Q17" s="24"/>
      <c r="R17" s="24"/>
      <c r="S17" s="25">
        <f>2818070</f>
        <v>2818070</v>
      </c>
      <c r="T17" s="25"/>
      <c r="U17" s="25"/>
      <c r="V17" s="25">
        <f>2413718.88</f>
        <v>2413718.88</v>
      </c>
      <c r="W17" s="25"/>
      <c r="X17" s="25"/>
      <c r="Y17" s="25"/>
      <c r="Z17" s="25"/>
      <c r="AA17" s="26">
        <f>404351.12</f>
        <v>404351.12</v>
      </c>
      <c r="AB17" s="26"/>
      <c r="AC17" s="26"/>
    </row>
    <row r="18" spans="1:29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35</v>
      </c>
      <c r="N18" s="24"/>
      <c r="O18" s="24"/>
      <c r="P18" s="24" t="s">
        <v>49</v>
      </c>
      <c r="Q18" s="24"/>
      <c r="R18" s="24"/>
      <c r="S18" s="25">
        <f>-306930</f>
        <v>-306930</v>
      </c>
      <c r="T18" s="25"/>
      <c r="U18" s="25"/>
      <c r="V18" s="25">
        <f>-313634.89</f>
        <v>-313634.89</v>
      </c>
      <c r="W18" s="25"/>
      <c r="X18" s="25"/>
      <c r="Y18" s="25"/>
      <c r="Z18" s="25"/>
      <c r="AA18" s="27" t="s">
        <v>45</v>
      </c>
      <c r="AB18" s="27"/>
      <c r="AC18" s="27"/>
    </row>
    <row r="19" spans="1:29" s="1" customFormat="1" ht="45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35</v>
      </c>
      <c r="N19" s="24"/>
      <c r="O19" s="24"/>
      <c r="P19" s="24" t="s">
        <v>51</v>
      </c>
      <c r="Q19" s="24"/>
      <c r="R19" s="24"/>
      <c r="S19" s="25">
        <f>4100000</f>
        <v>4100000</v>
      </c>
      <c r="T19" s="25"/>
      <c r="U19" s="25"/>
      <c r="V19" s="25">
        <f>3114688.7</f>
        <v>3114688.7</v>
      </c>
      <c r="W19" s="25"/>
      <c r="X19" s="25"/>
      <c r="Y19" s="25"/>
      <c r="Z19" s="25"/>
      <c r="AA19" s="26">
        <f>985311.3</f>
        <v>985311.3</v>
      </c>
      <c r="AB19" s="26"/>
      <c r="AC19" s="26"/>
    </row>
    <row r="20" spans="1:29" s="1" customFormat="1" ht="24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35</v>
      </c>
      <c r="N20" s="24"/>
      <c r="O20" s="24"/>
      <c r="P20" s="24" t="s">
        <v>53</v>
      </c>
      <c r="Q20" s="24"/>
      <c r="R20" s="24"/>
      <c r="S20" s="25">
        <f>2000</f>
        <v>2000</v>
      </c>
      <c r="T20" s="25"/>
      <c r="U20" s="25"/>
      <c r="V20" s="25">
        <f>892.95</f>
        <v>892.95</v>
      </c>
      <c r="W20" s="25"/>
      <c r="X20" s="25"/>
      <c r="Y20" s="25"/>
      <c r="Z20" s="25"/>
      <c r="AA20" s="26">
        <f>1107.05</f>
        <v>1107.05</v>
      </c>
      <c r="AB20" s="26"/>
      <c r="AC20" s="26"/>
    </row>
    <row r="21" spans="1:29" s="1" customFormat="1" ht="13.5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35</v>
      </c>
      <c r="N21" s="24"/>
      <c r="O21" s="24"/>
      <c r="P21" s="24" t="s">
        <v>55</v>
      </c>
      <c r="Q21" s="24"/>
      <c r="R21" s="24"/>
      <c r="S21" s="25">
        <f>79881.81</f>
        <v>79881.81</v>
      </c>
      <c r="T21" s="25"/>
      <c r="U21" s="25"/>
      <c r="V21" s="25">
        <f>79881.81</f>
        <v>79881.81</v>
      </c>
      <c r="W21" s="25"/>
      <c r="X21" s="25"/>
      <c r="Y21" s="25"/>
      <c r="Z21" s="25"/>
      <c r="AA21" s="26">
        <f>0</f>
        <v>0</v>
      </c>
      <c r="AB21" s="26"/>
      <c r="AC21" s="26"/>
    </row>
    <row r="22" spans="1:29" s="1" customFormat="1" ht="13.5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35</v>
      </c>
      <c r="N22" s="24"/>
      <c r="O22" s="24"/>
      <c r="P22" s="24" t="s">
        <v>57</v>
      </c>
      <c r="Q22" s="24"/>
      <c r="R22" s="24"/>
      <c r="S22" s="25">
        <f>35236.56</f>
        <v>35236.56</v>
      </c>
      <c r="T22" s="25"/>
      <c r="U22" s="25"/>
      <c r="V22" s="25">
        <f>35236.56</f>
        <v>35236.56</v>
      </c>
      <c r="W22" s="25"/>
      <c r="X22" s="25"/>
      <c r="Y22" s="25"/>
      <c r="Z22" s="25"/>
      <c r="AA22" s="26">
        <f>0</f>
        <v>0</v>
      </c>
      <c r="AB22" s="26"/>
      <c r="AC22" s="26"/>
    </row>
    <row r="23" spans="1:29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35</v>
      </c>
      <c r="N23" s="24"/>
      <c r="O23" s="24"/>
      <c r="P23" s="24" t="s">
        <v>59</v>
      </c>
      <c r="Q23" s="24"/>
      <c r="R23" s="24"/>
      <c r="S23" s="25">
        <f>202000</f>
        <v>202000</v>
      </c>
      <c r="T23" s="25"/>
      <c r="U23" s="25"/>
      <c r="V23" s="25">
        <f>97940.22</f>
        <v>97940.22</v>
      </c>
      <c r="W23" s="25"/>
      <c r="X23" s="25"/>
      <c r="Y23" s="25"/>
      <c r="Z23" s="25"/>
      <c r="AA23" s="26">
        <f>104059.78</f>
        <v>104059.78</v>
      </c>
      <c r="AB23" s="26"/>
      <c r="AC23" s="26"/>
    </row>
    <row r="24" spans="1:29" s="1" customFormat="1" ht="13.5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35</v>
      </c>
      <c r="N24" s="24"/>
      <c r="O24" s="24"/>
      <c r="P24" s="24" t="s">
        <v>61</v>
      </c>
      <c r="Q24" s="24"/>
      <c r="R24" s="24"/>
      <c r="S24" s="25">
        <f>7000</f>
        <v>7000</v>
      </c>
      <c r="T24" s="25"/>
      <c r="U24" s="25"/>
      <c r="V24" s="25">
        <f>6259.41</f>
        <v>6259.41</v>
      </c>
      <c r="W24" s="25"/>
      <c r="X24" s="25"/>
      <c r="Y24" s="25"/>
      <c r="Z24" s="25"/>
      <c r="AA24" s="26">
        <f>740.59</f>
        <v>740.59</v>
      </c>
      <c r="AB24" s="26"/>
      <c r="AC24" s="26"/>
    </row>
    <row r="25" spans="1:29" s="1" customFormat="1" ht="13.5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35</v>
      </c>
      <c r="N25" s="24"/>
      <c r="O25" s="24"/>
      <c r="P25" s="24" t="s">
        <v>63</v>
      </c>
      <c r="Q25" s="24"/>
      <c r="R25" s="24"/>
      <c r="S25" s="25">
        <f>30760</f>
        <v>30760</v>
      </c>
      <c r="T25" s="25"/>
      <c r="U25" s="25"/>
      <c r="V25" s="25">
        <f>18030.92</f>
        <v>18030.92</v>
      </c>
      <c r="W25" s="25"/>
      <c r="X25" s="25"/>
      <c r="Y25" s="25"/>
      <c r="Z25" s="25"/>
      <c r="AA25" s="26">
        <f>12729.08</f>
        <v>12729.08</v>
      </c>
      <c r="AB25" s="26"/>
      <c r="AC25" s="26"/>
    </row>
    <row r="26" spans="1:29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35</v>
      </c>
      <c r="N26" s="24"/>
      <c r="O26" s="24"/>
      <c r="P26" s="24" t="s">
        <v>65</v>
      </c>
      <c r="Q26" s="24"/>
      <c r="R26" s="24"/>
      <c r="S26" s="25">
        <f>590000</f>
        <v>590000</v>
      </c>
      <c r="T26" s="25"/>
      <c r="U26" s="25"/>
      <c r="V26" s="25">
        <f>600970.33</f>
        <v>600970.33</v>
      </c>
      <c r="W26" s="25"/>
      <c r="X26" s="25"/>
      <c r="Y26" s="25"/>
      <c r="Z26" s="25"/>
      <c r="AA26" s="27" t="s">
        <v>45</v>
      </c>
      <c r="AB26" s="27"/>
      <c r="AC26" s="27"/>
    </row>
    <row r="27" spans="1:29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35</v>
      </c>
      <c r="N27" s="24"/>
      <c r="O27" s="24"/>
      <c r="P27" s="24" t="s">
        <v>67</v>
      </c>
      <c r="Q27" s="24"/>
      <c r="R27" s="24"/>
      <c r="S27" s="25">
        <f>130000</f>
        <v>130000</v>
      </c>
      <c r="T27" s="25"/>
      <c r="U27" s="25"/>
      <c r="V27" s="25">
        <f>51732.65</f>
        <v>51732.65</v>
      </c>
      <c r="W27" s="25"/>
      <c r="X27" s="25"/>
      <c r="Y27" s="25"/>
      <c r="Z27" s="25"/>
      <c r="AA27" s="26">
        <f>78267.35</f>
        <v>78267.35</v>
      </c>
      <c r="AB27" s="26"/>
      <c r="AC27" s="26"/>
    </row>
    <row r="28" spans="1:29" s="1" customFormat="1" ht="4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35</v>
      </c>
      <c r="N28" s="24"/>
      <c r="O28" s="24"/>
      <c r="P28" s="24" t="s">
        <v>69</v>
      </c>
      <c r="Q28" s="24"/>
      <c r="R28" s="24"/>
      <c r="S28" s="25">
        <f>46000</f>
        <v>46000</v>
      </c>
      <c r="T28" s="25"/>
      <c r="U28" s="25"/>
      <c r="V28" s="25">
        <f>39410</f>
        <v>39410</v>
      </c>
      <c r="W28" s="25"/>
      <c r="X28" s="25"/>
      <c r="Y28" s="25"/>
      <c r="Z28" s="25"/>
      <c r="AA28" s="26">
        <f>6590</f>
        <v>6590</v>
      </c>
      <c r="AB28" s="26"/>
      <c r="AC28" s="26"/>
    </row>
    <row r="29" spans="1:29" s="1" customFormat="1" ht="4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35</v>
      </c>
      <c r="N29" s="24"/>
      <c r="O29" s="24"/>
      <c r="P29" s="24" t="s">
        <v>71</v>
      </c>
      <c r="Q29" s="24"/>
      <c r="R29" s="24"/>
      <c r="S29" s="25">
        <f>11200</f>
        <v>11200</v>
      </c>
      <c r="T29" s="25"/>
      <c r="U29" s="25"/>
      <c r="V29" s="25">
        <f>11200</f>
        <v>11200</v>
      </c>
      <c r="W29" s="25"/>
      <c r="X29" s="25"/>
      <c r="Y29" s="25"/>
      <c r="Z29" s="25"/>
      <c r="AA29" s="26">
        <f>0</f>
        <v>0</v>
      </c>
      <c r="AB29" s="26"/>
      <c r="AC29" s="26"/>
    </row>
    <row r="30" spans="1:29" s="1" customFormat="1" ht="33.75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35</v>
      </c>
      <c r="N30" s="24"/>
      <c r="O30" s="24"/>
      <c r="P30" s="24" t="s">
        <v>73</v>
      </c>
      <c r="Q30" s="24"/>
      <c r="R30" s="24"/>
      <c r="S30" s="25">
        <f>110227.86</f>
        <v>110227.86</v>
      </c>
      <c r="T30" s="25"/>
      <c r="U30" s="25"/>
      <c r="V30" s="25">
        <f>92536.81</f>
        <v>92536.81</v>
      </c>
      <c r="W30" s="25"/>
      <c r="X30" s="25"/>
      <c r="Y30" s="25"/>
      <c r="Z30" s="25"/>
      <c r="AA30" s="26">
        <f>17691.05</f>
        <v>17691.05</v>
      </c>
      <c r="AB30" s="26"/>
      <c r="AC30" s="26"/>
    </row>
    <row r="31" spans="1:29" s="1" customFormat="1" ht="45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35</v>
      </c>
      <c r="N31" s="24"/>
      <c r="O31" s="24"/>
      <c r="P31" s="24" t="s">
        <v>75</v>
      </c>
      <c r="Q31" s="24"/>
      <c r="R31" s="24"/>
      <c r="S31" s="25">
        <f>780000</f>
        <v>780000</v>
      </c>
      <c r="T31" s="25"/>
      <c r="U31" s="25"/>
      <c r="V31" s="25">
        <f>638227.51</f>
        <v>638227.51</v>
      </c>
      <c r="W31" s="25"/>
      <c r="X31" s="25"/>
      <c r="Y31" s="25"/>
      <c r="Z31" s="25"/>
      <c r="AA31" s="26">
        <f>141772.49</f>
        <v>141772.49</v>
      </c>
      <c r="AB31" s="26"/>
      <c r="AC31" s="26"/>
    </row>
    <row r="32" spans="1:29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35</v>
      </c>
      <c r="N32" s="24"/>
      <c r="O32" s="24"/>
      <c r="P32" s="24" t="s">
        <v>77</v>
      </c>
      <c r="Q32" s="24"/>
      <c r="R32" s="24"/>
      <c r="S32" s="25">
        <f>120000</f>
        <v>120000</v>
      </c>
      <c r="T32" s="25"/>
      <c r="U32" s="25"/>
      <c r="V32" s="25">
        <f>107850</f>
        <v>107850</v>
      </c>
      <c r="W32" s="25"/>
      <c r="X32" s="25"/>
      <c r="Y32" s="25"/>
      <c r="Z32" s="25"/>
      <c r="AA32" s="26">
        <f>12150</f>
        <v>12150</v>
      </c>
      <c r="AB32" s="26"/>
      <c r="AC32" s="26"/>
    </row>
    <row r="33" spans="1:29" s="1" customFormat="1" ht="13.5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 t="s">
        <v>35</v>
      </c>
      <c r="N33" s="24"/>
      <c r="O33" s="24"/>
      <c r="P33" s="24" t="s">
        <v>79</v>
      </c>
      <c r="Q33" s="24"/>
      <c r="R33" s="24"/>
      <c r="S33" s="25">
        <f>476213.11</f>
        <v>476213.11</v>
      </c>
      <c r="T33" s="25"/>
      <c r="U33" s="25"/>
      <c r="V33" s="25">
        <f>438576.84</f>
        <v>438576.84</v>
      </c>
      <c r="W33" s="25"/>
      <c r="X33" s="25"/>
      <c r="Y33" s="25"/>
      <c r="Z33" s="25"/>
      <c r="AA33" s="26">
        <f>37636.27</f>
        <v>37636.27</v>
      </c>
      <c r="AB33" s="26"/>
      <c r="AC33" s="26"/>
    </row>
    <row r="34" spans="1:29" s="1" customFormat="1" ht="13.5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 t="s">
        <v>35</v>
      </c>
      <c r="N34" s="24"/>
      <c r="O34" s="24"/>
      <c r="P34" s="24" t="s">
        <v>81</v>
      </c>
      <c r="Q34" s="24"/>
      <c r="R34" s="24"/>
      <c r="S34" s="25">
        <f>663200</f>
        <v>663200</v>
      </c>
      <c r="T34" s="25"/>
      <c r="U34" s="25"/>
      <c r="V34" s="25">
        <f>663200</f>
        <v>663200</v>
      </c>
      <c r="W34" s="25"/>
      <c r="X34" s="25"/>
      <c r="Y34" s="25"/>
      <c r="Z34" s="25"/>
      <c r="AA34" s="26">
        <f>0</f>
        <v>0</v>
      </c>
      <c r="AB34" s="26"/>
      <c r="AC34" s="26"/>
    </row>
    <row r="35" spans="1:29" s="1" customFormat="1" ht="24" customHeight="1">
      <c r="A35" s="23" t="s">
        <v>82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 t="s">
        <v>35</v>
      </c>
      <c r="N35" s="24"/>
      <c r="O35" s="24"/>
      <c r="P35" s="24" t="s">
        <v>83</v>
      </c>
      <c r="Q35" s="24"/>
      <c r="R35" s="24"/>
      <c r="S35" s="25">
        <f>26631200</f>
        <v>26631200</v>
      </c>
      <c r="T35" s="25"/>
      <c r="U35" s="25"/>
      <c r="V35" s="25">
        <f>22747836.01</f>
        <v>22747836.01</v>
      </c>
      <c r="W35" s="25"/>
      <c r="X35" s="25"/>
      <c r="Y35" s="25"/>
      <c r="Z35" s="25"/>
      <c r="AA35" s="26">
        <f>3883363.99</f>
        <v>3883363.99</v>
      </c>
      <c r="AB35" s="26"/>
      <c r="AC35" s="26"/>
    </row>
    <row r="36" spans="1:29" s="1" customFormat="1" ht="24" customHeight="1">
      <c r="A36" s="23" t="s">
        <v>84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 t="s">
        <v>35</v>
      </c>
      <c r="N36" s="24"/>
      <c r="O36" s="24"/>
      <c r="P36" s="24" t="s">
        <v>85</v>
      </c>
      <c r="Q36" s="24"/>
      <c r="R36" s="24"/>
      <c r="S36" s="25">
        <f>19685.71</f>
        <v>19685.71</v>
      </c>
      <c r="T36" s="25"/>
      <c r="U36" s="25"/>
      <c r="V36" s="28" t="s">
        <v>45</v>
      </c>
      <c r="W36" s="28"/>
      <c r="X36" s="28"/>
      <c r="Y36" s="28"/>
      <c r="Z36" s="28"/>
      <c r="AA36" s="26">
        <f>19685.71</f>
        <v>19685.71</v>
      </c>
      <c r="AB36" s="26"/>
      <c r="AC36" s="26"/>
    </row>
    <row r="37" spans="1:29" s="1" customFormat="1" ht="24" customHeight="1">
      <c r="A37" s="23" t="s">
        <v>86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 t="s">
        <v>35</v>
      </c>
      <c r="N37" s="24"/>
      <c r="O37" s="24"/>
      <c r="P37" s="24" t="s">
        <v>87</v>
      </c>
      <c r="Q37" s="24"/>
      <c r="R37" s="24"/>
      <c r="S37" s="25">
        <f>466400</f>
        <v>466400</v>
      </c>
      <c r="T37" s="25"/>
      <c r="U37" s="25"/>
      <c r="V37" s="25">
        <f>466400</f>
        <v>466400</v>
      </c>
      <c r="W37" s="25"/>
      <c r="X37" s="25"/>
      <c r="Y37" s="25"/>
      <c r="Z37" s="25"/>
      <c r="AA37" s="26">
        <f>0</f>
        <v>0</v>
      </c>
      <c r="AB37" s="26"/>
      <c r="AC37" s="26"/>
    </row>
    <row r="38" spans="1:29" s="1" customFormat="1" ht="24" customHeight="1">
      <c r="A38" s="23" t="s">
        <v>88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 t="s">
        <v>35</v>
      </c>
      <c r="N38" s="24"/>
      <c r="O38" s="24"/>
      <c r="P38" s="24" t="s">
        <v>89</v>
      </c>
      <c r="Q38" s="24"/>
      <c r="R38" s="24"/>
      <c r="S38" s="25">
        <f>84399.94</f>
        <v>84399.94</v>
      </c>
      <c r="T38" s="25"/>
      <c r="U38" s="25"/>
      <c r="V38" s="25">
        <f>81133.34</f>
        <v>81133.34</v>
      </c>
      <c r="W38" s="25"/>
      <c r="X38" s="25"/>
      <c r="Y38" s="25"/>
      <c r="Z38" s="25"/>
      <c r="AA38" s="26">
        <f>3266.6</f>
        <v>3266.6</v>
      </c>
      <c r="AB38" s="26"/>
      <c r="AC38" s="26"/>
    </row>
    <row r="39" spans="1:29" s="1" customFormat="1" ht="24" customHeight="1">
      <c r="A39" s="23" t="s">
        <v>90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4" t="s">
        <v>35</v>
      </c>
      <c r="N39" s="24"/>
      <c r="O39" s="24"/>
      <c r="P39" s="24" t="s">
        <v>91</v>
      </c>
      <c r="Q39" s="24"/>
      <c r="R39" s="24"/>
      <c r="S39" s="25">
        <f>12282353.21</f>
        <v>12282353.21</v>
      </c>
      <c r="T39" s="25"/>
      <c r="U39" s="25"/>
      <c r="V39" s="25">
        <f>10050428.08</f>
        <v>10050428.08</v>
      </c>
      <c r="W39" s="25"/>
      <c r="X39" s="25"/>
      <c r="Y39" s="25"/>
      <c r="Z39" s="25"/>
      <c r="AA39" s="26">
        <f>2231925.13</f>
        <v>2231925.13</v>
      </c>
      <c r="AB39" s="26"/>
      <c r="AC39" s="26"/>
    </row>
    <row r="40" spans="1:29" s="1" customFormat="1" ht="13.5" customHeight="1">
      <c r="A40" s="29" t="s">
        <v>10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</row>
    <row r="41" spans="1:29" s="1" customFormat="1" ht="13.5" customHeight="1">
      <c r="A41" s="12" t="s">
        <v>92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1:29" s="1" customFormat="1" ht="34.5" customHeight="1">
      <c r="A42" s="13" t="s">
        <v>22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 t="s">
        <v>23</v>
      </c>
      <c r="M42" s="13"/>
      <c r="N42" s="13"/>
      <c r="O42" s="13" t="s">
        <v>93</v>
      </c>
      <c r="P42" s="13"/>
      <c r="Q42" s="13"/>
      <c r="R42" s="14" t="s">
        <v>94</v>
      </c>
      <c r="S42" s="14"/>
      <c r="T42" s="14" t="s">
        <v>25</v>
      </c>
      <c r="U42" s="14"/>
      <c r="V42" s="14"/>
      <c r="W42" s="14" t="s">
        <v>26</v>
      </c>
      <c r="X42" s="14"/>
      <c r="Y42" s="14"/>
      <c r="Z42" s="14"/>
      <c r="AA42" s="14"/>
      <c r="AB42" s="15" t="s">
        <v>27</v>
      </c>
      <c r="AC42" s="15"/>
    </row>
    <row r="43" spans="1:29" s="1" customFormat="1" ht="13.5" customHeight="1">
      <c r="A43" s="16" t="s">
        <v>28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 t="s">
        <v>29</v>
      </c>
      <c r="M43" s="16"/>
      <c r="N43" s="16"/>
      <c r="O43" s="16" t="s">
        <v>30</v>
      </c>
      <c r="P43" s="16"/>
      <c r="Q43" s="16"/>
      <c r="R43" s="17" t="s">
        <v>31</v>
      </c>
      <c r="S43" s="17"/>
      <c r="T43" s="17" t="s">
        <v>32</v>
      </c>
      <c r="U43" s="17"/>
      <c r="V43" s="17"/>
      <c r="W43" s="17" t="s">
        <v>33</v>
      </c>
      <c r="X43" s="17"/>
      <c r="Y43" s="17"/>
      <c r="Z43" s="17"/>
      <c r="AA43" s="17"/>
      <c r="AB43" s="18" t="s">
        <v>95</v>
      </c>
      <c r="AC43" s="18"/>
    </row>
    <row r="44" spans="1:29" s="1" customFormat="1" ht="13.5" customHeight="1">
      <c r="A44" s="19" t="s">
        <v>96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20" t="s">
        <v>97</v>
      </c>
      <c r="M44" s="20"/>
      <c r="N44" s="20"/>
      <c r="O44" s="20" t="s">
        <v>36</v>
      </c>
      <c r="P44" s="20"/>
      <c r="Q44" s="20"/>
      <c r="R44" s="30" t="s">
        <v>36</v>
      </c>
      <c r="S44" s="30"/>
      <c r="T44" s="21">
        <f>54801510.56</f>
        <v>54801510.56</v>
      </c>
      <c r="U44" s="21"/>
      <c r="V44" s="21"/>
      <c r="W44" s="21">
        <f>42172036.17</f>
        <v>42172036.17</v>
      </c>
      <c r="X44" s="21"/>
      <c r="Y44" s="21"/>
      <c r="Z44" s="21"/>
      <c r="AA44" s="21"/>
      <c r="AB44" s="22">
        <f>12629474.39</f>
        <v>12629474.39</v>
      </c>
      <c r="AC44" s="22"/>
    </row>
    <row r="45" spans="1:29" s="1" customFormat="1" ht="13.5" customHeight="1">
      <c r="A45" s="31" t="s">
        <v>98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2" t="s">
        <v>97</v>
      </c>
      <c r="M45" s="32"/>
      <c r="N45" s="32"/>
      <c r="O45" s="32" t="s">
        <v>99</v>
      </c>
      <c r="P45" s="32"/>
      <c r="Q45" s="32"/>
      <c r="R45" s="33" t="s">
        <v>100</v>
      </c>
      <c r="S45" s="33"/>
      <c r="T45" s="34">
        <f>1546020</f>
        <v>1546020</v>
      </c>
      <c r="U45" s="34"/>
      <c r="V45" s="34"/>
      <c r="W45" s="34">
        <f>1324755.69</f>
        <v>1324755.69</v>
      </c>
      <c r="X45" s="34"/>
      <c r="Y45" s="34"/>
      <c r="Z45" s="34"/>
      <c r="AA45" s="34"/>
      <c r="AB45" s="35">
        <f>221264.31</f>
        <v>221264.31</v>
      </c>
      <c r="AC45" s="35"/>
    </row>
    <row r="46" spans="1:29" s="1" customFormat="1" ht="13.5" customHeight="1">
      <c r="A46" s="31" t="s">
        <v>101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2" t="s">
        <v>97</v>
      </c>
      <c r="M46" s="32"/>
      <c r="N46" s="32"/>
      <c r="O46" s="32" t="s">
        <v>102</v>
      </c>
      <c r="P46" s="32"/>
      <c r="Q46" s="32"/>
      <c r="R46" s="33" t="s">
        <v>103</v>
      </c>
      <c r="S46" s="33"/>
      <c r="T46" s="34">
        <f>418320</f>
        <v>418320</v>
      </c>
      <c r="U46" s="34"/>
      <c r="V46" s="34"/>
      <c r="W46" s="34">
        <f>341336.48</f>
        <v>341336.48</v>
      </c>
      <c r="X46" s="34"/>
      <c r="Y46" s="34"/>
      <c r="Z46" s="34"/>
      <c r="AA46" s="34"/>
      <c r="AB46" s="35">
        <f>76983.52</f>
        <v>76983.52</v>
      </c>
      <c r="AC46" s="35"/>
    </row>
    <row r="47" spans="1:29" s="1" customFormat="1" ht="13.5" customHeight="1">
      <c r="A47" s="31" t="s">
        <v>98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2" t="s">
        <v>97</v>
      </c>
      <c r="M47" s="32"/>
      <c r="N47" s="32"/>
      <c r="O47" s="32" t="s">
        <v>104</v>
      </c>
      <c r="P47" s="32"/>
      <c r="Q47" s="32"/>
      <c r="R47" s="33" t="s">
        <v>100</v>
      </c>
      <c r="S47" s="33"/>
      <c r="T47" s="34">
        <f>7636921.44</f>
        <v>7636921.44</v>
      </c>
      <c r="U47" s="34"/>
      <c r="V47" s="34"/>
      <c r="W47" s="34">
        <f>6049297.14</f>
        <v>6049297.14</v>
      </c>
      <c r="X47" s="34"/>
      <c r="Y47" s="34"/>
      <c r="Z47" s="34"/>
      <c r="AA47" s="34"/>
      <c r="AB47" s="35">
        <f>1587624.3</f>
        <v>1587624.3</v>
      </c>
      <c r="AC47" s="35"/>
    </row>
    <row r="48" spans="1:29" s="1" customFormat="1" ht="13.5" customHeight="1">
      <c r="A48" s="31" t="s">
        <v>105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2" t="s">
        <v>97</v>
      </c>
      <c r="M48" s="32"/>
      <c r="N48" s="32"/>
      <c r="O48" s="32" t="s">
        <v>104</v>
      </c>
      <c r="P48" s="32"/>
      <c r="Q48" s="32"/>
      <c r="R48" s="33" t="s">
        <v>106</v>
      </c>
      <c r="S48" s="33"/>
      <c r="T48" s="34">
        <f>33818.19</f>
        <v>33818.19</v>
      </c>
      <c r="U48" s="34"/>
      <c r="V48" s="34"/>
      <c r="W48" s="34">
        <f>33818.19</f>
        <v>33818.19</v>
      </c>
      <c r="X48" s="34"/>
      <c r="Y48" s="34"/>
      <c r="Z48" s="34"/>
      <c r="AA48" s="34"/>
      <c r="AB48" s="35">
        <f>0</f>
        <v>0</v>
      </c>
      <c r="AC48" s="35"/>
    </row>
    <row r="49" spans="1:29" s="1" customFormat="1" ht="13.5" customHeight="1">
      <c r="A49" s="31" t="s">
        <v>107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 t="s">
        <v>97</v>
      </c>
      <c r="M49" s="32"/>
      <c r="N49" s="32"/>
      <c r="O49" s="32" t="s">
        <v>108</v>
      </c>
      <c r="P49" s="32"/>
      <c r="Q49" s="32"/>
      <c r="R49" s="33" t="s">
        <v>109</v>
      </c>
      <c r="S49" s="33"/>
      <c r="T49" s="34">
        <f>200000</f>
        <v>200000</v>
      </c>
      <c r="U49" s="34"/>
      <c r="V49" s="34"/>
      <c r="W49" s="34">
        <f>167223.06</f>
        <v>167223.06</v>
      </c>
      <c r="X49" s="34"/>
      <c r="Y49" s="34"/>
      <c r="Z49" s="34"/>
      <c r="AA49" s="34"/>
      <c r="AB49" s="35">
        <f>32776.94</f>
        <v>32776.94</v>
      </c>
      <c r="AC49" s="35"/>
    </row>
    <row r="50" spans="1:29" s="1" customFormat="1" ht="13.5" customHeight="1">
      <c r="A50" s="31" t="s">
        <v>110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2" t="s">
        <v>97</v>
      </c>
      <c r="M50" s="32"/>
      <c r="N50" s="32"/>
      <c r="O50" s="32" t="s">
        <v>108</v>
      </c>
      <c r="P50" s="32"/>
      <c r="Q50" s="32"/>
      <c r="R50" s="33" t="s">
        <v>111</v>
      </c>
      <c r="S50" s="33"/>
      <c r="T50" s="34">
        <f>3040</f>
        <v>3040</v>
      </c>
      <c r="U50" s="34"/>
      <c r="V50" s="34"/>
      <c r="W50" s="34">
        <f>3040</f>
        <v>3040</v>
      </c>
      <c r="X50" s="34"/>
      <c r="Y50" s="34"/>
      <c r="Z50" s="34"/>
      <c r="AA50" s="34"/>
      <c r="AB50" s="35">
        <f>0</f>
        <v>0</v>
      </c>
      <c r="AC50" s="35"/>
    </row>
    <row r="51" spans="1:29" s="1" customFormat="1" ht="13.5" customHeight="1">
      <c r="A51" s="31" t="s">
        <v>112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2" t="s">
        <v>97</v>
      </c>
      <c r="M51" s="32"/>
      <c r="N51" s="32"/>
      <c r="O51" s="32" t="s">
        <v>108</v>
      </c>
      <c r="P51" s="32"/>
      <c r="Q51" s="32"/>
      <c r="R51" s="33" t="s">
        <v>113</v>
      </c>
      <c r="S51" s="33"/>
      <c r="T51" s="34">
        <f>90000</f>
        <v>90000</v>
      </c>
      <c r="U51" s="34"/>
      <c r="V51" s="34"/>
      <c r="W51" s="34">
        <f>28595</f>
        <v>28595</v>
      </c>
      <c r="X51" s="34"/>
      <c r="Y51" s="34"/>
      <c r="Z51" s="34"/>
      <c r="AA51" s="34"/>
      <c r="AB51" s="35">
        <f>61405</f>
        <v>61405</v>
      </c>
      <c r="AC51" s="35"/>
    </row>
    <row r="52" spans="1:29" s="1" customFormat="1" ht="13.5" customHeight="1">
      <c r="A52" s="31" t="s">
        <v>101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2" t="s">
        <v>97</v>
      </c>
      <c r="M52" s="32"/>
      <c r="N52" s="32"/>
      <c r="O52" s="32" t="s">
        <v>114</v>
      </c>
      <c r="P52" s="32"/>
      <c r="Q52" s="32"/>
      <c r="R52" s="33" t="s">
        <v>103</v>
      </c>
      <c r="S52" s="33"/>
      <c r="T52" s="34">
        <f>2293313.31</f>
        <v>2293313.31</v>
      </c>
      <c r="U52" s="34"/>
      <c r="V52" s="34"/>
      <c r="W52" s="34">
        <f>1668463.38</f>
        <v>1668463.38</v>
      </c>
      <c r="X52" s="34"/>
      <c r="Y52" s="34"/>
      <c r="Z52" s="34"/>
      <c r="AA52" s="34"/>
      <c r="AB52" s="35">
        <f>624849.93</f>
        <v>624849.93</v>
      </c>
      <c r="AC52" s="35"/>
    </row>
    <row r="53" spans="1:29" s="1" customFormat="1" ht="13.5" customHeight="1">
      <c r="A53" s="31" t="s">
        <v>115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2" t="s">
        <v>97</v>
      </c>
      <c r="M53" s="32"/>
      <c r="N53" s="32"/>
      <c r="O53" s="32" t="s">
        <v>116</v>
      </c>
      <c r="P53" s="32"/>
      <c r="Q53" s="32"/>
      <c r="R53" s="33" t="s">
        <v>117</v>
      </c>
      <c r="S53" s="33"/>
      <c r="T53" s="34">
        <f>259409</f>
        <v>259409</v>
      </c>
      <c r="U53" s="34"/>
      <c r="V53" s="34"/>
      <c r="W53" s="34">
        <f>259409</f>
        <v>259409</v>
      </c>
      <c r="X53" s="34"/>
      <c r="Y53" s="34"/>
      <c r="Z53" s="34"/>
      <c r="AA53" s="34"/>
      <c r="AB53" s="35">
        <f>0</f>
        <v>0</v>
      </c>
      <c r="AC53" s="35"/>
    </row>
    <row r="54" spans="1:29" s="1" customFormat="1" ht="13.5" customHeight="1">
      <c r="A54" s="31" t="s">
        <v>118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2" t="s">
        <v>97</v>
      </c>
      <c r="M54" s="32"/>
      <c r="N54" s="32"/>
      <c r="O54" s="32" t="s">
        <v>119</v>
      </c>
      <c r="P54" s="32"/>
      <c r="Q54" s="32"/>
      <c r="R54" s="33" t="s">
        <v>97</v>
      </c>
      <c r="S54" s="33"/>
      <c r="T54" s="34">
        <f>100000</f>
        <v>100000</v>
      </c>
      <c r="U54" s="34"/>
      <c r="V54" s="34"/>
      <c r="W54" s="36" t="s">
        <v>45</v>
      </c>
      <c r="X54" s="36"/>
      <c r="Y54" s="36"/>
      <c r="Z54" s="36"/>
      <c r="AA54" s="36"/>
      <c r="AB54" s="35">
        <f>100000</f>
        <v>100000</v>
      </c>
      <c r="AC54" s="35"/>
    </row>
    <row r="55" spans="1:29" s="1" customFormat="1" ht="13.5" customHeight="1">
      <c r="A55" s="31" t="s">
        <v>110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2" t="s">
        <v>97</v>
      </c>
      <c r="M55" s="32"/>
      <c r="N55" s="32"/>
      <c r="O55" s="32" t="s">
        <v>120</v>
      </c>
      <c r="P55" s="32"/>
      <c r="Q55" s="32"/>
      <c r="R55" s="33" t="s">
        <v>111</v>
      </c>
      <c r="S55" s="33"/>
      <c r="T55" s="34">
        <f>11500</f>
        <v>11500</v>
      </c>
      <c r="U55" s="34"/>
      <c r="V55" s="34"/>
      <c r="W55" s="34">
        <f>7500</f>
        <v>7500</v>
      </c>
      <c r="X55" s="34"/>
      <c r="Y55" s="34"/>
      <c r="Z55" s="34"/>
      <c r="AA55" s="34"/>
      <c r="AB55" s="35">
        <f>4000</f>
        <v>4000</v>
      </c>
      <c r="AC55" s="35"/>
    </row>
    <row r="56" spans="1:29" s="1" customFormat="1" ht="13.5" customHeight="1">
      <c r="A56" s="31" t="s">
        <v>110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2" t="s">
        <v>97</v>
      </c>
      <c r="M56" s="32"/>
      <c r="N56" s="32"/>
      <c r="O56" s="32" t="s">
        <v>121</v>
      </c>
      <c r="P56" s="32"/>
      <c r="Q56" s="32"/>
      <c r="R56" s="33" t="s">
        <v>111</v>
      </c>
      <c r="S56" s="33"/>
      <c r="T56" s="34">
        <f>52248</f>
        <v>52248</v>
      </c>
      <c r="U56" s="34"/>
      <c r="V56" s="34"/>
      <c r="W56" s="34">
        <f>29500</f>
        <v>29500</v>
      </c>
      <c r="X56" s="34"/>
      <c r="Y56" s="34"/>
      <c r="Z56" s="34"/>
      <c r="AA56" s="34"/>
      <c r="AB56" s="35">
        <f>22748</f>
        <v>22748</v>
      </c>
      <c r="AC56" s="35"/>
    </row>
    <row r="57" spans="1:29" s="1" customFormat="1" ht="13.5" customHeight="1">
      <c r="A57" s="31" t="s">
        <v>110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2" t="s">
        <v>97</v>
      </c>
      <c r="M57" s="32"/>
      <c r="N57" s="32"/>
      <c r="O57" s="32" t="s">
        <v>122</v>
      </c>
      <c r="P57" s="32"/>
      <c r="Q57" s="32"/>
      <c r="R57" s="33" t="s">
        <v>111</v>
      </c>
      <c r="S57" s="33"/>
      <c r="T57" s="34">
        <f>435708</f>
        <v>435708</v>
      </c>
      <c r="U57" s="34"/>
      <c r="V57" s="34"/>
      <c r="W57" s="34">
        <f>335635</f>
        <v>335635</v>
      </c>
      <c r="X57" s="34"/>
      <c r="Y57" s="34"/>
      <c r="Z57" s="34"/>
      <c r="AA57" s="34"/>
      <c r="AB57" s="35">
        <f>100073</f>
        <v>100073</v>
      </c>
      <c r="AC57" s="35"/>
    </row>
    <row r="58" spans="1:29" s="1" customFormat="1" ht="13.5" customHeight="1">
      <c r="A58" s="31" t="s">
        <v>110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2" t="s">
        <v>97</v>
      </c>
      <c r="M58" s="32"/>
      <c r="N58" s="32"/>
      <c r="O58" s="32" t="s">
        <v>123</v>
      </c>
      <c r="P58" s="32"/>
      <c r="Q58" s="32"/>
      <c r="R58" s="33" t="s">
        <v>111</v>
      </c>
      <c r="S58" s="33"/>
      <c r="T58" s="34">
        <f>50000</f>
        <v>50000</v>
      </c>
      <c r="U58" s="34"/>
      <c r="V58" s="34"/>
      <c r="W58" s="34">
        <f>7355.6</f>
        <v>7355.6</v>
      </c>
      <c r="X58" s="34"/>
      <c r="Y58" s="34"/>
      <c r="Z58" s="34"/>
      <c r="AA58" s="34"/>
      <c r="AB58" s="35">
        <f>42644.4</f>
        <v>42644.4</v>
      </c>
      <c r="AC58" s="35"/>
    </row>
    <row r="59" spans="1:29" s="1" customFormat="1" ht="24" customHeight="1">
      <c r="A59" s="31" t="s">
        <v>124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2" t="s">
        <v>97</v>
      </c>
      <c r="M59" s="32"/>
      <c r="N59" s="32"/>
      <c r="O59" s="32" t="s">
        <v>125</v>
      </c>
      <c r="P59" s="32"/>
      <c r="Q59" s="32"/>
      <c r="R59" s="33" t="s">
        <v>126</v>
      </c>
      <c r="S59" s="33"/>
      <c r="T59" s="34">
        <f>6000</f>
        <v>6000</v>
      </c>
      <c r="U59" s="34"/>
      <c r="V59" s="34"/>
      <c r="W59" s="34">
        <f>4119.22</f>
        <v>4119.22</v>
      </c>
      <c r="X59" s="34"/>
      <c r="Y59" s="34"/>
      <c r="Z59" s="34"/>
      <c r="AA59" s="34"/>
      <c r="AB59" s="35">
        <f>1880.78</f>
        <v>1880.78</v>
      </c>
      <c r="AC59" s="35"/>
    </row>
    <row r="60" spans="1:29" s="1" customFormat="1" ht="13.5" customHeight="1">
      <c r="A60" s="31" t="s">
        <v>98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2" t="s">
        <v>97</v>
      </c>
      <c r="M60" s="32"/>
      <c r="N60" s="32"/>
      <c r="O60" s="32" t="s">
        <v>127</v>
      </c>
      <c r="P60" s="32"/>
      <c r="Q60" s="32"/>
      <c r="R60" s="33" t="s">
        <v>100</v>
      </c>
      <c r="S60" s="33"/>
      <c r="T60" s="34">
        <f>6789579.58</f>
        <v>6789579.58</v>
      </c>
      <c r="U60" s="34"/>
      <c r="V60" s="34"/>
      <c r="W60" s="34">
        <f>5413394.16</f>
        <v>5413394.16</v>
      </c>
      <c r="X60" s="34"/>
      <c r="Y60" s="34"/>
      <c r="Z60" s="34"/>
      <c r="AA60" s="34"/>
      <c r="AB60" s="35">
        <f>1376185.42</f>
        <v>1376185.42</v>
      </c>
      <c r="AC60" s="35"/>
    </row>
    <row r="61" spans="1:29" s="1" customFormat="1" ht="13.5" customHeight="1">
      <c r="A61" s="31" t="s">
        <v>105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2" t="s">
        <v>97</v>
      </c>
      <c r="M61" s="32"/>
      <c r="N61" s="32"/>
      <c r="O61" s="32" t="s">
        <v>127</v>
      </c>
      <c r="P61" s="32"/>
      <c r="Q61" s="32"/>
      <c r="R61" s="33" t="s">
        <v>106</v>
      </c>
      <c r="S61" s="33"/>
      <c r="T61" s="34">
        <f>10000</f>
        <v>10000</v>
      </c>
      <c r="U61" s="34"/>
      <c r="V61" s="34"/>
      <c r="W61" s="34">
        <f>8228.34</f>
        <v>8228.34</v>
      </c>
      <c r="X61" s="34"/>
      <c r="Y61" s="34"/>
      <c r="Z61" s="34"/>
      <c r="AA61" s="34"/>
      <c r="AB61" s="35">
        <f>1771.66</f>
        <v>1771.66</v>
      </c>
      <c r="AC61" s="35"/>
    </row>
    <row r="62" spans="1:29" s="1" customFormat="1" ht="13.5" customHeight="1">
      <c r="A62" s="31" t="s">
        <v>107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2" t="s">
        <v>97</v>
      </c>
      <c r="M62" s="32"/>
      <c r="N62" s="32"/>
      <c r="O62" s="32" t="s">
        <v>128</v>
      </c>
      <c r="P62" s="32"/>
      <c r="Q62" s="32"/>
      <c r="R62" s="33" t="s">
        <v>109</v>
      </c>
      <c r="S62" s="33"/>
      <c r="T62" s="34">
        <f>147297.85</f>
        <v>147297.85</v>
      </c>
      <c r="U62" s="34"/>
      <c r="V62" s="34"/>
      <c r="W62" s="34">
        <f>147297.85</f>
        <v>147297.85</v>
      </c>
      <c r="X62" s="34"/>
      <c r="Y62" s="34"/>
      <c r="Z62" s="34"/>
      <c r="AA62" s="34"/>
      <c r="AB62" s="35">
        <f>0</f>
        <v>0</v>
      </c>
      <c r="AC62" s="35"/>
    </row>
    <row r="63" spans="1:29" s="1" customFormat="1" ht="13.5" customHeight="1">
      <c r="A63" s="31" t="s">
        <v>110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2" t="s">
        <v>97</v>
      </c>
      <c r="M63" s="32"/>
      <c r="N63" s="32"/>
      <c r="O63" s="32" t="s">
        <v>128</v>
      </c>
      <c r="P63" s="32"/>
      <c r="Q63" s="32"/>
      <c r="R63" s="33" t="s">
        <v>111</v>
      </c>
      <c r="S63" s="33"/>
      <c r="T63" s="34">
        <f>5610</f>
        <v>5610</v>
      </c>
      <c r="U63" s="34"/>
      <c r="V63" s="34"/>
      <c r="W63" s="34">
        <f>5610</f>
        <v>5610</v>
      </c>
      <c r="X63" s="34"/>
      <c r="Y63" s="34"/>
      <c r="Z63" s="34"/>
      <c r="AA63" s="34"/>
      <c r="AB63" s="35">
        <f>0</f>
        <v>0</v>
      </c>
      <c r="AC63" s="35"/>
    </row>
    <row r="64" spans="1:29" s="1" customFormat="1" ht="13.5" customHeight="1">
      <c r="A64" s="31" t="s">
        <v>101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2" t="s">
        <v>97</v>
      </c>
      <c r="M64" s="32"/>
      <c r="N64" s="32"/>
      <c r="O64" s="32" t="s">
        <v>129</v>
      </c>
      <c r="P64" s="32"/>
      <c r="Q64" s="32"/>
      <c r="R64" s="33" t="s">
        <v>103</v>
      </c>
      <c r="S64" s="33"/>
      <c r="T64" s="34">
        <f>2050453.03</f>
        <v>2050453.03</v>
      </c>
      <c r="U64" s="34"/>
      <c r="V64" s="34"/>
      <c r="W64" s="34">
        <f>1561718.15</f>
        <v>1561718.15</v>
      </c>
      <c r="X64" s="34"/>
      <c r="Y64" s="34"/>
      <c r="Z64" s="34"/>
      <c r="AA64" s="34"/>
      <c r="AB64" s="35">
        <f>488734.88</f>
        <v>488734.88</v>
      </c>
      <c r="AC64" s="35"/>
    </row>
    <row r="65" spans="1:29" s="1" customFormat="1" ht="13.5" customHeight="1">
      <c r="A65" s="31" t="s">
        <v>130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2" t="s">
        <v>97</v>
      </c>
      <c r="M65" s="32"/>
      <c r="N65" s="32"/>
      <c r="O65" s="32" t="s">
        <v>131</v>
      </c>
      <c r="P65" s="32"/>
      <c r="Q65" s="32"/>
      <c r="R65" s="33" t="s">
        <v>132</v>
      </c>
      <c r="S65" s="33"/>
      <c r="T65" s="34">
        <f>43000</f>
        <v>43000</v>
      </c>
      <c r="U65" s="34"/>
      <c r="V65" s="34"/>
      <c r="W65" s="34">
        <f>33500</f>
        <v>33500</v>
      </c>
      <c r="X65" s="34"/>
      <c r="Y65" s="34"/>
      <c r="Z65" s="34"/>
      <c r="AA65" s="34"/>
      <c r="AB65" s="35">
        <f>9500</f>
        <v>9500</v>
      </c>
      <c r="AC65" s="35"/>
    </row>
    <row r="66" spans="1:29" s="1" customFormat="1" ht="13.5" customHeight="1">
      <c r="A66" s="31" t="s">
        <v>133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2" t="s">
        <v>97</v>
      </c>
      <c r="M66" s="32"/>
      <c r="N66" s="32"/>
      <c r="O66" s="32" t="s">
        <v>131</v>
      </c>
      <c r="P66" s="32"/>
      <c r="Q66" s="32"/>
      <c r="R66" s="33" t="s">
        <v>134</v>
      </c>
      <c r="S66" s="33"/>
      <c r="T66" s="34">
        <f>33004.45</f>
        <v>33004.45</v>
      </c>
      <c r="U66" s="34"/>
      <c r="V66" s="34"/>
      <c r="W66" s="34">
        <f>10146.43</f>
        <v>10146.43</v>
      </c>
      <c r="X66" s="34"/>
      <c r="Y66" s="34"/>
      <c r="Z66" s="34"/>
      <c r="AA66" s="34"/>
      <c r="AB66" s="35">
        <f>22858.02</f>
        <v>22858.02</v>
      </c>
      <c r="AC66" s="35"/>
    </row>
    <row r="67" spans="1:29" s="1" customFormat="1" ht="13.5" customHeight="1">
      <c r="A67" s="31" t="s">
        <v>135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2" t="s">
        <v>97</v>
      </c>
      <c r="M67" s="32"/>
      <c r="N67" s="32"/>
      <c r="O67" s="32" t="s">
        <v>131</v>
      </c>
      <c r="P67" s="32"/>
      <c r="Q67" s="32"/>
      <c r="R67" s="33" t="s">
        <v>136</v>
      </c>
      <c r="S67" s="33"/>
      <c r="T67" s="34">
        <f>35466</f>
        <v>35466</v>
      </c>
      <c r="U67" s="34"/>
      <c r="V67" s="34"/>
      <c r="W67" s="34">
        <f>35466</f>
        <v>35466</v>
      </c>
      <c r="X67" s="34"/>
      <c r="Y67" s="34"/>
      <c r="Z67" s="34"/>
      <c r="AA67" s="34"/>
      <c r="AB67" s="35">
        <f>0</f>
        <v>0</v>
      </c>
      <c r="AC67" s="35"/>
    </row>
    <row r="68" spans="1:29" s="1" customFormat="1" ht="13.5" customHeight="1">
      <c r="A68" s="31" t="s">
        <v>110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2" t="s">
        <v>97</v>
      </c>
      <c r="M68" s="32"/>
      <c r="N68" s="32"/>
      <c r="O68" s="32" t="s">
        <v>131</v>
      </c>
      <c r="P68" s="32"/>
      <c r="Q68" s="32"/>
      <c r="R68" s="33" t="s">
        <v>111</v>
      </c>
      <c r="S68" s="33"/>
      <c r="T68" s="34">
        <f>31953</f>
        <v>31953</v>
      </c>
      <c r="U68" s="34"/>
      <c r="V68" s="34"/>
      <c r="W68" s="34">
        <f>26636</f>
        <v>26636</v>
      </c>
      <c r="X68" s="34"/>
      <c r="Y68" s="34"/>
      <c r="Z68" s="34"/>
      <c r="AA68" s="34"/>
      <c r="AB68" s="35">
        <f>5317</f>
        <v>5317</v>
      </c>
      <c r="AC68" s="35"/>
    </row>
    <row r="69" spans="1:29" s="1" customFormat="1" ht="13.5" customHeight="1">
      <c r="A69" s="31" t="s">
        <v>137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2" t="s">
        <v>97</v>
      </c>
      <c r="M69" s="32"/>
      <c r="N69" s="32"/>
      <c r="O69" s="32" t="s">
        <v>131</v>
      </c>
      <c r="P69" s="32"/>
      <c r="Q69" s="32"/>
      <c r="R69" s="33" t="s">
        <v>138</v>
      </c>
      <c r="S69" s="33"/>
      <c r="T69" s="34">
        <f>1200</f>
        <v>1200</v>
      </c>
      <c r="U69" s="34"/>
      <c r="V69" s="34"/>
      <c r="W69" s="34">
        <f>1200</f>
        <v>1200</v>
      </c>
      <c r="X69" s="34"/>
      <c r="Y69" s="34"/>
      <c r="Z69" s="34"/>
      <c r="AA69" s="34"/>
      <c r="AB69" s="35">
        <f>0</f>
        <v>0</v>
      </c>
      <c r="AC69" s="35"/>
    </row>
    <row r="70" spans="1:29" s="1" customFormat="1" ht="24" customHeight="1">
      <c r="A70" s="31" t="s">
        <v>139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2" t="s">
        <v>97</v>
      </c>
      <c r="M70" s="32"/>
      <c r="N70" s="32"/>
      <c r="O70" s="32" t="s">
        <v>131</v>
      </c>
      <c r="P70" s="32"/>
      <c r="Q70" s="32"/>
      <c r="R70" s="33" t="s">
        <v>140</v>
      </c>
      <c r="S70" s="33"/>
      <c r="T70" s="34">
        <f>3075</f>
        <v>3075</v>
      </c>
      <c r="U70" s="34"/>
      <c r="V70" s="34"/>
      <c r="W70" s="34">
        <f>3075</f>
        <v>3075</v>
      </c>
      <c r="X70" s="34"/>
      <c r="Y70" s="34"/>
      <c r="Z70" s="34"/>
      <c r="AA70" s="34"/>
      <c r="AB70" s="35">
        <f>0</f>
        <v>0</v>
      </c>
      <c r="AC70" s="35"/>
    </row>
    <row r="71" spans="1:29" s="1" customFormat="1" ht="13.5" customHeight="1">
      <c r="A71" s="31" t="s">
        <v>141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2" t="s">
        <v>97</v>
      </c>
      <c r="M71" s="32"/>
      <c r="N71" s="32"/>
      <c r="O71" s="32" t="s">
        <v>131</v>
      </c>
      <c r="P71" s="32"/>
      <c r="Q71" s="32"/>
      <c r="R71" s="33" t="s">
        <v>142</v>
      </c>
      <c r="S71" s="33"/>
      <c r="T71" s="34">
        <f>180000</f>
        <v>180000</v>
      </c>
      <c r="U71" s="34"/>
      <c r="V71" s="34"/>
      <c r="W71" s="34">
        <f>125985.1</f>
        <v>125985.1</v>
      </c>
      <c r="X71" s="34"/>
      <c r="Y71" s="34"/>
      <c r="Z71" s="34"/>
      <c r="AA71" s="34"/>
      <c r="AB71" s="35">
        <f>54014.9</f>
        <v>54014.9</v>
      </c>
      <c r="AC71" s="35"/>
    </row>
    <row r="72" spans="1:29" s="1" customFormat="1" ht="13.5" customHeight="1">
      <c r="A72" s="31" t="s">
        <v>143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2" t="s">
        <v>97</v>
      </c>
      <c r="M72" s="32"/>
      <c r="N72" s="32"/>
      <c r="O72" s="32" t="s">
        <v>131</v>
      </c>
      <c r="P72" s="32"/>
      <c r="Q72" s="32"/>
      <c r="R72" s="33" t="s">
        <v>144</v>
      </c>
      <c r="S72" s="33"/>
      <c r="T72" s="34">
        <f>3520</f>
        <v>3520</v>
      </c>
      <c r="U72" s="34"/>
      <c r="V72" s="34"/>
      <c r="W72" s="34">
        <f>3520</f>
        <v>3520</v>
      </c>
      <c r="X72" s="34"/>
      <c r="Y72" s="34"/>
      <c r="Z72" s="34"/>
      <c r="AA72" s="34"/>
      <c r="AB72" s="35">
        <f>0</f>
        <v>0</v>
      </c>
      <c r="AC72" s="35"/>
    </row>
    <row r="73" spans="1:29" s="1" customFormat="1" ht="13.5" customHeight="1">
      <c r="A73" s="31" t="s">
        <v>145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2" t="s">
        <v>97</v>
      </c>
      <c r="M73" s="32"/>
      <c r="N73" s="32"/>
      <c r="O73" s="32" t="s">
        <v>131</v>
      </c>
      <c r="P73" s="32"/>
      <c r="Q73" s="32"/>
      <c r="R73" s="33" t="s">
        <v>146</v>
      </c>
      <c r="S73" s="33"/>
      <c r="T73" s="34">
        <f>107181</f>
        <v>107181</v>
      </c>
      <c r="U73" s="34"/>
      <c r="V73" s="34"/>
      <c r="W73" s="34">
        <f>107181</f>
        <v>107181</v>
      </c>
      <c r="X73" s="34"/>
      <c r="Y73" s="34"/>
      <c r="Z73" s="34"/>
      <c r="AA73" s="34"/>
      <c r="AB73" s="35">
        <f>0</f>
        <v>0</v>
      </c>
      <c r="AC73" s="35"/>
    </row>
    <row r="74" spans="1:29" s="1" customFormat="1" ht="24" customHeight="1">
      <c r="A74" s="31" t="s">
        <v>124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2" t="s">
        <v>97</v>
      </c>
      <c r="M74" s="32"/>
      <c r="N74" s="32"/>
      <c r="O74" s="32" t="s">
        <v>131</v>
      </c>
      <c r="P74" s="32"/>
      <c r="Q74" s="32"/>
      <c r="R74" s="33" t="s">
        <v>126</v>
      </c>
      <c r="S74" s="33"/>
      <c r="T74" s="34">
        <f>4000</f>
        <v>4000</v>
      </c>
      <c r="U74" s="34"/>
      <c r="V74" s="34"/>
      <c r="W74" s="36" t="s">
        <v>45</v>
      </c>
      <c r="X74" s="36"/>
      <c r="Y74" s="36"/>
      <c r="Z74" s="36"/>
      <c r="AA74" s="36"/>
      <c r="AB74" s="35">
        <f>4000</f>
        <v>4000</v>
      </c>
      <c r="AC74" s="35"/>
    </row>
    <row r="75" spans="1:29" s="1" customFormat="1" ht="13.5" customHeight="1">
      <c r="A75" s="31" t="s">
        <v>133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2" t="s">
        <v>97</v>
      </c>
      <c r="M75" s="32"/>
      <c r="N75" s="32"/>
      <c r="O75" s="32" t="s">
        <v>147</v>
      </c>
      <c r="P75" s="32"/>
      <c r="Q75" s="32"/>
      <c r="R75" s="33" t="s">
        <v>134</v>
      </c>
      <c r="S75" s="33"/>
      <c r="T75" s="34">
        <f>345029.5</f>
        <v>345029.5</v>
      </c>
      <c r="U75" s="34"/>
      <c r="V75" s="34"/>
      <c r="W75" s="34">
        <f>229670.26</f>
        <v>229670.26</v>
      </c>
      <c r="X75" s="34"/>
      <c r="Y75" s="34"/>
      <c r="Z75" s="34"/>
      <c r="AA75" s="34"/>
      <c r="AB75" s="35">
        <f>115359.24</f>
        <v>115359.24</v>
      </c>
      <c r="AC75" s="35"/>
    </row>
    <row r="76" spans="1:29" s="1" customFormat="1" ht="13.5" customHeight="1">
      <c r="A76" s="31" t="s">
        <v>130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2" t="s">
        <v>97</v>
      </c>
      <c r="M76" s="32"/>
      <c r="N76" s="32"/>
      <c r="O76" s="32" t="s">
        <v>148</v>
      </c>
      <c r="P76" s="32"/>
      <c r="Q76" s="32"/>
      <c r="R76" s="33" t="s">
        <v>132</v>
      </c>
      <c r="S76" s="33"/>
      <c r="T76" s="34">
        <f>75000</f>
        <v>75000</v>
      </c>
      <c r="U76" s="34"/>
      <c r="V76" s="34"/>
      <c r="W76" s="34">
        <f>52802.14</f>
        <v>52802.14</v>
      </c>
      <c r="X76" s="34"/>
      <c r="Y76" s="34"/>
      <c r="Z76" s="34"/>
      <c r="AA76" s="34"/>
      <c r="AB76" s="35">
        <f>22197.86</f>
        <v>22197.86</v>
      </c>
      <c r="AC76" s="35"/>
    </row>
    <row r="77" spans="1:29" s="1" customFormat="1" ht="13.5" customHeight="1">
      <c r="A77" s="31" t="s">
        <v>133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2" t="s">
        <v>97</v>
      </c>
      <c r="M77" s="32"/>
      <c r="N77" s="32"/>
      <c r="O77" s="32" t="s">
        <v>148</v>
      </c>
      <c r="P77" s="32"/>
      <c r="Q77" s="32"/>
      <c r="R77" s="33" t="s">
        <v>134</v>
      </c>
      <c r="S77" s="33"/>
      <c r="T77" s="34">
        <f>6966.05</f>
        <v>6966.05</v>
      </c>
      <c r="U77" s="34"/>
      <c r="V77" s="34"/>
      <c r="W77" s="34">
        <f>5412.85</f>
        <v>5412.85</v>
      </c>
      <c r="X77" s="34"/>
      <c r="Y77" s="34"/>
      <c r="Z77" s="34"/>
      <c r="AA77" s="34"/>
      <c r="AB77" s="35">
        <f>1553.2</f>
        <v>1553.2</v>
      </c>
      <c r="AC77" s="35"/>
    </row>
    <row r="78" spans="1:29" s="1" customFormat="1" ht="13.5" customHeight="1">
      <c r="A78" s="31" t="s">
        <v>135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2" t="s">
        <v>97</v>
      </c>
      <c r="M78" s="32"/>
      <c r="N78" s="32"/>
      <c r="O78" s="32" t="s">
        <v>148</v>
      </c>
      <c r="P78" s="32"/>
      <c r="Q78" s="32"/>
      <c r="R78" s="33" t="s">
        <v>136</v>
      </c>
      <c r="S78" s="33"/>
      <c r="T78" s="34">
        <f>254806.16</f>
        <v>254806.16</v>
      </c>
      <c r="U78" s="34"/>
      <c r="V78" s="34"/>
      <c r="W78" s="36" t="s">
        <v>45</v>
      </c>
      <c r="X78" s="36"/>
      <c r="Y78" s="36"/>
      <c r="Z78" s="36"/>
      <c r="AA78" s="36"/>
      <c r="AB78" s="35">
        <f>254806.16</f>
        <v>254806.16</v>
      </c>
      <c r="AC78" s="35"/>
    </row>
    <row r="79" spans="1:29" s="1" customFormat="1" ht="13.5" customHeight="1">
      <c r="A79" s="31" t="s">
        <v>110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2" t="s">
        <v>97</v>
      </c>
      <c r="M79" s="32"/>
      <c r="N79" s="32"/>
      <c r="O79" s="32" t="s">
        <v>148</v>
      </c>
      <c r="P79" s="32"/>
      <c r="Q79" s="32"/>
      <c r="R79" s="33" t="s">
        <v>111</v>
      </c>
      <c r="S79" s="33"/>
      <c r="T79" s="34">
        <f>46544</f>
        <v>46544</v>
      </c>
      <c r="U79" s="34"/>
      <c r="V79" s="34"/>
      <c r="W79" s="34">
        <f>22100</f>
        <v>22100</v>
      </c>
      <c r="X79" s="34"/>
      <c r="Y79" s="34"/>
      <c r="Z79" s="34"/>
      <c r="AA79" s="34"/>
      <c r="AB79" s="35">
        <f>24444</f>
        <v>24444</v>
      </c>
      <c r="AC79" s="35"/>
    </row>
    <row r="80" spans="1:29" s="1" customFormat="1" ht="13.5" customHeight="1">
      <c r="A80" s="31" t="s">
        <v>149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2" t="s">
        <v>97</v>
      </c>
      <c r="M80" s="32"/>
      <c r="N80" s="32"/>
      <c r="O80" s="32" t="s">
        <v>148</v>
      </c>
      <c r="P80" s="32"/>
      <c r="Q80" s="32"/>
      <c r="R80" s="33" t="s">
        <v>150</v>
      </c>
      <c r="S80" s="33"/>
      <c r="T80" s="34">
        <f>8706</f>
        <v>8706</v>
      </c>
      <c r="U80" s="34"/>
      <c r="V80" s="34"/>
      <c r="W80" s="34">
        <f>4206</f>
        <v>4206</v>
      </c>
      <c r="X80" s="34"/>
      <c r="Y80" s="34"/>
      <c r="Z80" s="34"/>
      <c r="AA80" s="34"/>
      <c r="AB80" s="35">
        <f>4500</f>
        <v>4500</v>
      </c>
      <c r="AC80" s="35"/>
    </row>
    <row r="81" spans="1:29" s="1" customFormat="1" ht="13.5" customHeight="1">
      <c r="A81" s="31" t="s">
        <v>137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2" t="s">
        <v>97</v>
      </c>
      <c r="M81" s="32"/>
      <c r="N81" s="32"/>
      <c r="O81" s="32" t="s">
        <v>148</v>
      </c>
      <c r="P81" s="32"/>
      <c r="Q81" s="32"/>
      <c r="R81" s="33" t="s">
        <v>138</v>
      </c>
      <c r="S81" s="33"/>
      <c r="T81" s="34">
        <f>3600</f>
        <v>3600</v>
      </c>
      <c r="U81" s="34"/>
      <c r="V81" s="34"/>
      <c r="W81" s="34">
        <f>3600</f>
        <v>3600</v>
      </c>
      <c r="X81" s="34"/>
      <c r="Y81" s="34"/>
      <c r="Z81" s="34"/>
      <c r="AA81" s="34"/>
      <c r="AB81" s="35">
        <f>0</f>
        <v>0</v>
      </c>
      <c r="AC81" s="35"/>
    </row>
    <row r="82" spans="1:29" s="1" customFormat="1" ht="13.5" customHeight="1">
      <c r="A82" s="31" t="s">
        <v>151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2" t="s">
        <v>97</v>
      </c>
      <c r="M82" s="32"/>
      <c r="N82" s="32"/>
      <c r="O82" s="32" t="s">
        <v>148</v>
      </c>
      <c r="P82" s="32"/>
      <c r="Q82" s="32"/>
      <c r="R82" s="33" t="s">
        <v>152</v>
      </c>
      <c r="S82" s="33"/>
      <c r="T82" s="34">
        <f>64100</f>
        <v>64100</v>
      </c>
      <c r="U82" s="34"/>
      <c r="V82" s="34"/>
      <c r="W82" s="34">
        <f>64100</f>
        <v>64100</v>
      </c>
      <c r="X82" s="34"/>
      <c r="Y82" s="34"/>
      <c r="Z82" s="34"/>
      <c r="AA82" s="34"/>
      <c r="AB82" s="35">
        <f>0</f>
        <v>0</v>
      </c>
      <c r="AC82" s="35"/>
    </row>
    <row r="83" spans="1:29" s="1" customFormat="1" ht="24" customHeight="1">
      <c r="A83" s="31" t="s">
        <v>139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2" t="s">
        <v>97</v>
      </c>
      <c r="M83" s="32"/>
      <c r="N83" s="32"/>
      <c r="O83" s="32" t="s">
        <v>148</v>
      </c>
      <c r="P83" s="32"/>
      <c r="Q83" s="32"/>
      <c r="R83" s="33" t="s">
        <v>140</v>
      </c>
      <c r="S83" s="33"/>
      <c r="T83" s="34">
        <f>3540</f>
        <v>3540</v>
      </c>
      <c r="U83" s="34"/>
      <c r="V83" s="34"/>
      <c r="W83" s="34">
        <f>3540</f>
        <v>3540</v>
      </c>
      <c r="X83" s="34"/>
      <c r="Y83" s="34"/>
      <c r="Z83" s="34"/>
      <c r="AA83" s="34"/>
      <c r="AB83" s="35">
        <f>0</f>
        <v>0</v>
      </c>
      <c r="AC83" s="35"/>
    </row>
    <row r="84" spans="1:29" s="1" customFormat="1" ht="13.5" customHeight="1">
      <c r="A84" s="31" t="s">
        <v>145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2" t="s">
        <v>97</v>
      </c>
      <c r="M84" s="32"/>
      <c r="N84" s="32"/>
      <c r="O84" s="32" t="s">
        <v>148</v>
      </c>
      <c r="P84" s="32"/>
      <c r="Q84" s="32"/>
      <c r="R84" s="33" t="s">
        <v>146</v>
      </c>
      <c r="S84" s="33"/>
      <c r="T84" s="34">
        <f>9975</f>
        <v>9975</v>
      </c>
      <c r="U84" s="34"/>
      <c r="V84" s="34"/>
      <c r="W84" s="34">
        <f>9975</f>
        <v>9975</v>
      </c>
      <c r="X84" s="34"/>
      <c r="Y84" s="34"/>
      <c r="Z84" s="34"/>
      <c r="AA84" s="34"/>
      <c r="AB84" s="35">
        <f>0</f>
        <v>0</v>
      </c>
      <c r="AC84" s="35"/>
    </row>
    <row r="85" spans="1:29" s="1" customFormat="1" ht="13.5" customHeight="1">
      <c r="A85" s="31" t="s">
        <v>153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2" t="s">
        <v>97</v>
      </c>
      <c r="M85" s="32"/>
      <c r="N85" s="32"/>
      <c r="O85" s="32" t="s">
        <v>154</v>
      </c>
      <c r="P85" s="32"/>
      <c r="Q85" s="32"/>
      <c r="R85" s="33" t="s">
        <v>155</v>
      </c>
      <c r="S85" s="33"/>
      <c r="T85" s="34">
        <f>20000</f>
        <v>20000</v>
      </c>
      <c r="U85" s="34"/>
      <c r="V85" s="34"/>
      <c r="W85" s="34">
        <f>2160.4</f>
        <v>2160.4</v>
      </c>
      <c r="X85" s="34"/>
      <c r="Y85" s="34"/>
      <c r="Z85" s="34"/>
      <c r="AA85" s="34"/>
      <c r="AB85" s="35">
        <f>17839.6</f>
        <v>17839.6</v>
      </c>
      <c r="AC85" s="35"/>
    </row>
    <row r="86" spans="1:29" s="1" customFormat="1" ht="13.5" customHeight="1">
      <c r="A86" s="31" t="s">
        <v>156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2" t="s">
        <v>97</v>
      </c>
      <c r="M86" s="32"/>
      <c r="N86" s="32"/>
      <c r="O86" s="32" t="s">
        <v>157</v>
      </c>
      <c r="P86" s="32"/>
      <c r="Q86" s="32"/>
      <c r="R86" s="33" t="s">
        <v>158</v>
      </c>
      <c r="S86" s="33"/>
      <c r="T86" s="34">
        <f>350000</f>
        <v>350000</v>
      </c>
      <c r="U86" s="34"/>
      <c r="V86" s="34"/>
      <c r="W86" s="34">
        <f>200000</f>
        <v>200000</v>
      </c>
      <c r="X86" s="34"/>
      <c r="Y86" s="34"/>
      <c r="Z86" s="34"/>
      <c r="AA86" s="34"/>
      <c r="AB86" s="35">
        <f>150000</f>
        <v>150000</v>
      </c>
      <c r="AC86" s="35"/>
    </row>
    <row r="87" spans="1:29" s="1" customFormat="1" ht="24" customHeight="1">
      <c r="A87" s="31" t="s">
        <v>159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2" t="s">
        <v>97</v>
      </c>
      <c r="M87" s="32"/>
      <c r="N87" s="32"/>
      <c r="O87" s="32" t="s">
        <v>160</v>
      </c>
      <c r="P87" s="32"/>
      <c r="Q87" s="32"/>
      <c r="R87" s="33" t="s">
        <v>161</v>
      </c>
      <c r="S87" s="33"/>
      <c r="T87" s="34">
        <f>122716.3</f>
        <v>122716.3</v>
      </c>
      <c r="U87" s="34"/>
      <c r="V87" s="34"/>
      <c r="W87" s="34">
        <f>122716.3</f>
        <v>122716.3</v>
      </c>
      <c r="X87" s="34"/>
      <c r="Y87" s="34"/>
      <c r="Z87" s="34"/>
      <c r="AA87" s="34"/>
      <c r="AB87" s="35">
        <f>0</f>
        <v>0</v>
      </c>
      <c r="AC87" s="35"/>
    </row>
    <row r="88" spans="1:29" s="1" customFormat="1" ht="13.5" customHeight="1">
      <c r="A88" s="31" t="s">
        <v>98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2" t="s">
        <v>97</v>
      </c>
      <c r="M88" s="32"/>
      <c r="N88" s="32"/>
      <c r="O88" s="32" t="s">
        <v>162</v>
      </c>
      <c r="P88" s="32"/>
      <c r="Q88" s="32"/>
      <c r="R88" s="33" t="s">
        <v>100</v>
      </c>
      <c r="S88" s="33"/>
      <c r="T88" s="34">
        <f>356521.66</f>
        <v>356521.66</v>
      </c>
      <c r="U88" s="34"/>
      <c r="V88" s="34"/>
      <c r="W88" s="34">
        <f>318176.94</f>
        <v>318176.94</v>
      </c>
      <c r="X88" s="34"/>
      <c r="Y88" s="34"/>
      <c r="Z88" s="34"/>
      <c r="AA88" s="34"/>
      <c r="AB88" s="35">
        <f>38344.72</f>
        <v>38344.72</v>
      </c>
      <c r="AC88" s="35"/>
    </row>
    <row r="89" spans="1:29" s="1" customFormat="1" ht="13.5" customHeight="1">
      <c r="A89" s="31" t="s">
        <v>110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2" t="s">
        <v>97</v>
      </c>
      <c r="M89" s="32"/>
      <c r="N89" s="32"/>
      <c r="O89" s="32" t="s">
        <v>163</v>
      </c>
      <c r="P89" s="32"/>
      <c r="Q89" s="32"/>
      <c r="R89" s="33" t="s">
        <v>111</v>
      </c>
      <c r="S89" s="33"/>
      <c r="T89" s="34">
        <f>2208.8</f>
        <v>2208.8</v>
      </c>
      <c r="U89" s="34"/>
      <c r="V89" s="34"/>
      <c r="W89" s="34">
        <f>2208.8</f>
        <v>2208.8</v>
      </c>
      <c r="X89" s="34"/>
      <c r="Y89" s="34"/>
      <c r="Z89" s="34"/>
      <c r="AA89" s="34"/>
      <c r="AB89" s="35">
        <f>0</f>
        <v>0</v>
      </c>
      <c r="AC89" s="35"/>
    </row>
    <row r="90" spans="1:29" s="1" customFormat="1" ht="13.5" customHeight="1">
      <c r="A90" s="31" t="s">
        <v>101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2" t="s">
        <v>97</v>
      </c>
      <c r="M90" s="32"/>
      <c r="N90" s="32"/>
      <c r="O90" s="32" t="s">
        <v>164</v>
      </c>
      <c r="P90" s="32"/>
      <c r="Q90" s="32"/>
      <c r="R90" s="33" t="s">
        <v>103</v>
      </c>
      <c r="S90" s="33"/>
      <c r="T90" s="34">
        <f>107669.54</f>
        <v>107669.54</v>
      </c>
      <c r="U90" s="34"/>
      <c r="V90" s="34"/>
      <c r="W90" s="34">
        <f>80788.02</f>
        <v>80788.02</v>
      </c>
      <c r="X90" s="34"/>
      <c r="Y90" s="34"/>
      <c r="Z90" s="34"/>
      <c r="AA90" s="34"/>
      <c r="AB90" s="35">
        <f>26881.52</f>
        <v>26881.52</v>
      </c>
      <c r="AC90" s="35"/>
    </row>
    <row r="91" spans="1:29" s="1" customFormat="1" ht="13.5" customHeight="1">
      <c r="A91" s="31" t="s">
        <v>98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2" t="s">
        <v>97</v>
      </c>
      <c r="M91" s="32"/>
      <c r="N91" s="32"/>
      <c r="O91" s="32" t="s">
        <v>165</v>
      </c>
      <c r="P91" s="32"/>
      <c r="Q91" s="32"/>
      <c r="R91" s="33" t="s">
        <v>100</v>
      </c>
      <c r="S91" s="33"/>
      <c r="T91" s="34">
        <f>49751.09</f>
        <v>49751.09</v>
      </c>
      <c r="U91" s="34"/>
      <c r="V91" s="34"/>
      <c r="W91" s="34">
        <f>49751.09</f>
        <v>49751.09</v>
      </c>
      <c r="X91" s="34"/>
      <c r="Y91" s="34"/>
      <c r="Z91" s="34"/>
      <c r="AA91" s="34"/>
      <c r="AB91" s="35">
        <f>0</f>
        <v>0</v>
      </c>
      <c r="AC91" s="35"/>
    </row>
    <row r="92" spans="1:29" s="1" customFormat="1" ht="13.5" customHeight="1">
      <c r="A92" s="31" t="s">
        <v>101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2" t="s">
        <v>97</v>
      </c>
      <c r="M92" s="32"/>
      <c r="N92" s="32"/>
      <c r="O92" s="32" t="s">
        <v>166</v>
      </c>
      <c r="P92" s="32"/>
      <c r="Q92" s="32"/>
      <c r="R92" s="33" t="s">
        <v>103</v>
      </c>
      <c r="S92" s="33"/>
      <c r="T92" s="34">
        <f>15024.83</f>
        <v>15024.83</v>
      </c>
      <c r="U92" s="34"/>
      <c r="V92" s="34"/>
      <c r="W92" s="34">
        <f>10950.69</f>
        <v>10950.69</v>
      </c>
      <c r="X92" s="34"/>
      <c r="Y92" s="34"/>
      <c r="Z92" s="34"/>
      <c r="AA92" s="34"/>
      <c r="AB92" s="35">
        <f>4074.14</f>
        <v>4074.14</v>
      </c>
      <c r="AC92" s="35"/>
    </row>
    <row r="93" spans="1:29" s="1" customFormat="1" ht="13.5" customHeight="1">
      <c r="A93" s="31" t="s">
        <v>98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2" t="s">
        <v>97</v>
      </c>
      <c r="M93" s="32"/>
      <c r="N93" s="32"/>
      <c r="O93" s="32" t="s">
        <v>167</v>
      </c>
      <c r="P93" s="32"/>
      <c r="Q93" s="32"/>
      <c r="R93" s="33" t="s">
        <v>100</v>
      </c>
      <c r="S93" s="33"/>
      <c r="T93" s="34">
        <f>15072.23</f>
        <v>15072.23</v>
      </c>
      <c r="U93" s="34"/>
      <c r="V93" s="34"/>
      <c r="W93" s="34">
        <f>11805.63</f>
        <v>11805.63</v>
      </c>
      <c r="X93" s="34"/>
      <c r="Y93" s="34"/>
      <c r="Z93" s="34"/>
      <c r="AA93" s="34"/>
      <c r="AB93" s="35">
        <f>3266.6</f>
        <v>3266.6</v>
      </c>
      <c r="AC93" s="35"/>
    </row>
    <row r="94" spans="1:29" s="1" customFormat="1" ht="13.5" customHeight="1">
      <c r="A94" s="31" t="s">
        <v>101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2" t="s">
        <v>97</v>
      </c>
      <c r="M94" s="32"/>
      <c r="N94" s="32"/>
      <c r="O94" s="32" t="s">
        <v>168</v>
      </c>
      <c r="P94" s="32"/>
      <c r="Q94" s="32"/>
      <c r="R94" s="33" t="s">
        <v>103</v>
      </c>
      <c r="S94" s="33"/>
      <c r="T94" s="34">
        <f>4551.79</f>
        <v>4551.79</v>
      </c>
      <c r="U94" s="34"/>
      <c r="V94" s="34"/>
      <c r="W94" s="34">
        <f>4551.79</f>
        <v>4551.79</v>
      </c>
      <c r="X94" s="34"/>
      <c r="Y94" s="34"/>
      <c r="Z94" s="34"/>
      <c r="AA94" s="34"/>
      <c r="AB94" s="35">
        <f>0</f>
        <v>0</v>
      </c>
      <c r="AC94" s="35"/>
    </row>
    <row r="95" spans="1:29" s="1" customFormat="1" ht="24" customHeight="1">
      <c r="A95" s="31" t="s">
        <v>124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2" t="s">
        <v>97</v>
      </c>
      <c r="M95" s="32"/>
      <c r="N95" s="32"/>
      <c r="O95" s="32" t="s">
        <v>169</v>
      </c>
      <c r="P95" s="32"/>
      <c r="Q95" s="32"/>
      <c r="R95" s="33" t="s">
        <v>126</v>
      </c>
      <c r="S95" s="33"/>
      <c r="T95" s="34">
        <f>10000</f>
        <v>10000</v>
      </c>
      <c r="U95" s="34"/>
      <c r="V95" s="34"/>
      <c r="W95" s="34">
        <f>7109.38</f>
        <v>7109.38</v>
      </c>
      <c r="X95" s="34"/>
      <c r="Y95" s="34"/>
      <c r="Z95" s="34"/>
      <c r="AA95" s="34"/>
      <c r="AB95" s="35">
        <f>2890.62</f>
        <v>2890.62</v>
      </c>
      <c r="AC95" s="35"/>
    </row>
    <row r="96" spans="1:29" s="1" customFormat="1" ht="24" customHeight="1">
      <c r="A96" s="31" t="s">
        <v>124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2" t="s">
        <v>97</v>
      </c>
      <c r="M96" s="32"/>
      <c r="N96" s="32"/>
      <c r="O96" s="32" t="s">
        <v>170</v>
      </c>
      <c r="P96" s="32"/>
      <c r="Q96" s="32"/>
      <c r="R96" s="33" t="s">
        <v>126</v>
      </c>
      <c r="S96" s="33"/>
      <c r="T96" s="34">
        <f>10000</f>
        <v>10000</v>
      </c>
      <c r="U96" s="34"/>
      <c r="V96" s="34"/>
      <c r="W96" s="36" t="s">
        <v>45</v>
      </c>
      <c r="X96" s="36"/>
      <c r="Y96" s="36"/>
      <c r="Z96" s="36"/>
      <c r="AA96" s="36"/>
      <c r="AB96" s="35">
        <f>10000</f>
        <v>10000</v>
      </c>
      <c r="AC96" s="35"/>
    </row>
    <row r="97" spans="1:29" s="1" customFormat="1" ht="13.5" customHeight="1">
      <c r="A97" s="31" t="s">
        <v>110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2" t="s">
        <v>97</v>
      </c>
      <c r="M97" s="32"/>
      <c r="N97" s="32"/>
      <c r="O97" s="32" t="s">
        <v>171</v>
      </c>
      <c r="P97" s="32"/>
      <c r="Q97" s="32"/>
      <c r="R97" s="33" t="s">
        <v>111</v>
      </c>
      <c r="S97" s="33"/>
      <c r="T97" s="34">
        <f>22660.21</f>
        <v>22660.21</v>
      </c>
      <c r="U97" s="34"/>
      <c r="V97" s="34"/>
      <c r="W97" s="34">
        <f>22660.21</f>
        <v>22660.21</v>
      </c>
      <c r="X97" s="34"/>
      <c r="Y97" s="34"/>
      <c r="Z97" s="34"/>
      <c r="AA97" s="34"/>
      <c r="AB97" s="35">
        <f>0</f>
        <v>0</v>
      </c>
      <c r="AC97" s="35"/>
    </row>
    <row r="98" spans="1:29" s="1" customFormat="1" ht="13.5" customHeight="1">
      <c r="A98" s="31" t="s">
        <v>149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2" t="s">
        <v>97</v>
      </c>
      <c r="M98" s="32"/>
      <c r="N98" s="32"/>
      <c r="O98" s="32" t="s">
        <v>172</v>
      </c>
      <c r="P98" s="32"/>
      <c r="Q98" s="32"/>
      <c r="R98" s="33" t="s">
        <v>150</v>
      </c>
      <c r="S98" s="33"/>
      <c r="T98" s="34">
        <f>999.79</f>
        <v>999.79</v>
      </c>
      <c r="U98" s="34"/>
      <c r="V98" s="34"/>
      <c r="W98" s="34">
        <f>999.79</f>
        <v>999.79</v>
      </c>
      <c r="X98" s="34"/>
      <c r="Y98" s="34"/>
      <c r="Z98" s="34"/>
      <c r="AA98" s="34"/>
      <c r="AB98" s="35">
        <f>0</f>
        <v>0</v>
      </c>
      <c r="AC98" s="35"/>
    </row>
    <row r="99" spans="1:29" s="1" customFormat="1" ht="13.5" customHeight="1">
      <c r="A99" s="31" t="s">
        <v>110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2" t="s">
        <v>97</v>
      </c>
      <c r="M99" s="32"/>
      <c r="N99" s="32"/>
      <c r="O99" s="32" t="s">
        <v>173</v>
      </c>
      <c r="P99" s="32"/>
      <c r="Q99" s="32"/>
      <c r="R99" s="33" t="s">
        <v>111</v>
      </c>
      <c r="S99" s="33"/>
      <c r="T99" s="34">
        <f>5665.05</f>
        <v>5665.05</v>
      </c>
      <c r="U99" s="34"/>
      <c r="V99" s="34"/>
      <c r="W99" s="34">
        <f>5665.05</f>
        <v>5665.05</v>
      </c>
      <c r="X99" s="34"/>
      <c r="Y99" s="34"/>
      <c r="Z99" s="34"/>
      <c r="AA99" s="34"/>
      <c r="AB99" s="35">
        <f>0</f>
        <v>0</v>
      </c>
      <c r="AC99" s="35"/>
    </row>
    <row r="100" spans="1:29" s="1" customFormat="1" ht="13.5" customHeight="1">
      <c r="A100" s="31" t="s">
        <v>149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2" t="s">
        <v>97</v>
      </c>
      <c r="M100" s="32"/>
      <c r="N100" s="32"/>
      <c r="O100" s="32" t="s">
        <v>174</v>
      </c>
      <c r="P100" s="32"/>
      <c r="Q100" s="32"/>
      <c r="R100" s="33" t="s">
        <v>150</v>
      </c>
      <c r="S100" s="33"/>
      <c r="T100" s="34">
        <f>249.95</f>
        <v>249.95</v>
      </c>
      <c r="U100" s="34"/>
      <c r="V100" s="34"/>
      <c r="W100" s="34">
        <f>249.95</f>
        <v>249.95</v>
      </c>
      <c r="X100" s="34"/>
      <c r="Y100" s="34"/>
      <c r="Z100" s="34"/>
      <c r="AA100" s="34"/>
      <c r="AB100" s="35">
        <f>0</f>
        <v>0</v>
      </c>
      <c r="AC100" s="35"/>
    </row>
    <row r="101" spans="1:29" s="1" customFormat="1" ht="13.5" customHeight="1">
      <c r="A101" s="31" t="s">
        <v>98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2" t="s">
        <v>97</v>
      </c>
      <c r="M101" s="32"/>
      <c r="N101" s="32"/>
      <c r="O101" s="32" t="s">
        <v>175</v>
      </c>
      <c r="P101" s="32"/>
      <c r="Q101" s="32"/>
      <c r="R101" s="33" t="s">
        <v>100</v>
      </c>
      <c r="S101" s="33"/>
      <c r="T101" s="34">
        <f>783007.31</f>
        <v>783007.31</v>
      </c>
      <c r="U101" s="34"/>
      <c r="V101" s="34"/>
      <c r="W101" s="34">
        <f>162534.57</f>
        <v>162534.57</v>
      </c>
      <c r="X101" s="34"/>
      <c r="Y101" s="34"/>
      <c r="Z101" s="34"/>
      <c r="AA101" s="34"/>
      <c r="AB101" s="35">
        <f>620472.74</f>
        <v>620472.74</v>
      </c>
      <c r="AC101" s="35"/>
    </row>
    <row r="102" spans="1:29" s="1" customFormat="1" ht="13.5" customHeight="1">
      <c r="A102" s="31" t="s">
        <v>101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2" t="s">
        <v>97</v>
      </c>
      <c r="M102" s="32"/>
      <c r="N102" s="32"/>
      <c r="O102" s="32" t="s">
        <v>176</v>
      </c>
      <c r="P102" s="32"/>
      <c r="Q102" s="32"/>
      <c r="R102" s="33" t="s">
        <v>103</v>
      </c>
      <c r="S102" s="33"/>
      <c r="T102" s="34">
        <f>237273.08</f>
        <v>237273.08</v>
      </c>
      <c r="U102" s="34"/>
      <c r="V102" s="34"/>
      <c r="W102" s="34">
        <f>38301.61</f>
        <v>38301.61</v>
      </c>
      <c r="X102" s="34"/>
      <c r="Y102" s="34"/>
      <c r="Z102" s="34"/>
      <c r="AA102" s="34"/>
      <c r="AB102" s="35">
        <f>198971.47</f>
        <v>198971.47</v>
      </c>
      <c r="AC102" s="35"/>
    </row>
    <row r="103" spans="1:29" s="1" customFormat="1" ht="13.5" customHeight="1">
      <c r="A103" s="31" t="s">
        <v>98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2" t="s">
        <v>97</v>
      </c>
      <c r="M103" s="32"/>
      <c r="N103" s="32"/>
      <c r="O103" s="32" t="s">
        <v>177</v>
      </c>
      <c r="P103" s="32"/>
      <c r="Q103" s="32"/>
      <c r="R103" s="33" t="s">
        <v>100</v>
      </c>
      <c r="S103" s="33"/>
      <c r="T103" s="34">
        <f>1381485.58</f>
        <v>1381485.58</v>
      </c>
      <c r="U103" s="34"/>
      <c r="V103" s="34"/>
      <c r="W103" s="34">
        <f>914946.13</f>
        <v>914946.13</v>
      </c>
      <c r="X103" s="34"/>
      <c r="Y103" s="34"/>
      <c r="Z103" s="34"/>
      <c r="AA103" s="34"/>
      <c r="AB103" s="35">
        <f>466539.45</f>
        <v>466539.45</v>
      </c>
      <c r="AC103" s="35"/>
    </row>
    <row r="104" spans="1:29" s="1" customFormat="1" ht="13.5" customHeight="1">
      <c r="A104" s="31" t="s">
        <v>101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2" t="s">
        <v>97</v>
      </c>
      <c r="M104" s="32"/>
      <c r="N104" s="32"/>
      <c r="O104" s="32" t="s">
        <v>178</v>
      </c>
      <c r="P104" s="32"/>
      <c r="Q104" s="32"/>
      <c r="R104" s="33" t="s">
        <v>103</v>
      </c>
      <c r="S104" s="33"/>
      <c r="T104" s="34">
        <f>417208.42</f>
        <v>417208.42</v>
      </c>
      <c r="U104" s="34"/>
      <c r="V104" s="34"/>
      <c r="W104" s="34">
        <f>277823.72</f>
        <v>277823.72</v>
      </c>
      <c r="X104" s="34"/>
      <c r="Y104" s="34"/>
      <c r="Z104" s="34"/>
      <c r="AA104" s="34"/>
      <c r="AB104" s="35">
        <f>139384.7</f>
        <v>139384.7</v>
      </c>
      <c r="AC104" s="35"/>
    </row>
    <row r="105" spans="1:29" s="1" customFormat="1" ht="13.5" customHeight="1">
      <c r="A105" s="31" t="s">
        <v>98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2" t="s">
        <v>97</v>
      </c>
      <c r="M105" s="32"/>
      <c r="N105" s="32"/>
      <c r="O105" s="32" t="s">
        <v>179</v>
      </c>
      <c r="P105" s="32"/>
      <c r="Q105" s="32"/>
      <c r="R105" s="33" t="s">
        <v>100</v>
      </c>
      <c r="S105" s="33"/>
      <c r="T105" s="34">
        <f>151.12</f>
        <v>151.12</v>
      </c>
      <c r="U105" s="34"/>
      <c r="V105" s="34"/>
      <c r="W105" s="36" t="s">
        <v>45</v>
      </c>
      <c r="X105" s="36"/>
      <c r="Y105" s="36"/>
      <c r="Z105" s="36"/>
      <c r="AA105" s="36"/>
      <c r="AB105" s="35">
        <f>151.12</f>
        <v>151.12</v>
      </c>
      <c r="AC105" s="35"/>
    </row>
    <row r="106" spans="1:29" s="1" customFormat="1" ht="13.5" customHeight="1">
      <c r="A106" s="31" t="s">
        <v>101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2" t="s">
        <v>97</v>
      </c>
      <c r="M106" s="32"/>
      <c r="N106" s="32"/>
      <c r="O106" s="32" t="s">
        <v>180</v>
      </c>
      <c r="P106" s="32"/>
      <c r="Q106" s="32"/>
      <c r="R106" s="33" t="s">
        <v>103</v>
      </c>
      <c r="S106" s="33"/>
      <c r="T106" s="34">
        <f>45.64</f>
        <v>45.64</v>
      </c>
      <c r="U106" s="34"/>
      <c r="V106" s="34"/>
      <c r="W106" s="36" t="s">
        <v>45</v>
      </c>
      <c r="X106" s="36"/>
      <c r="Y106" s="36"/>
      <c r="Z106" s="36"/>
      <c r="AA106" s="36"/>
      <c r="AB106" s="35">
        <f>45.64</f>
        <v>45.64</v>
      </c>
      <c r="AC106" s="35"/>
    </row>
    <row r="107" spans="1:29" s="1" customFormat="1" ht="13.5" customHeight="1">
      <c r="A107" s="31" t="s">
        <v>110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2" t="s">
        <v>97</v>
      </c>
      <c r="M107" s="32"/>
      <c r="N107" s="32"/>
      <c r="O107" s="32" t="s">
        <v>181</v>
      </c>
      <c r="P107" s="32"/>
      <c r="Q107" s="32"/>
      <c r="R107" s="33" t="s">
        <v>111</v>
      </c>
      <c r="S107" s="33"/>
      <c r="T107" s="34">
        <f>19488.95</f>
        <v>19488.95</v>
      </c>
      <c r="U107" s="34"/>
      <c r="V107" s="34"/>
      <c r="W107" s="36" t="s">
        <v>45</v>
      </c>
      <c r="X107" s="36"/>
      <c r="Y107" s="36"/>
      <c r="Z107" s="36"/>
      <c r="AA107" s="36"/>
      <c r="AB107" s="35">
        <f>19488.95</f>
        <v>19488.95</v>
      </c>
      <c r="AC107" s="35"/>
    </row>
    <row r="108" spans="1:29" s="1" customFormat="1" ht="13.5" customHeight="1">
      <c r="A108" s="31" t="s">
        <v>110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2" t="s">
        <v>97</v>
      </c>
      <c r="M108" s="32"/>
      <c r="N108" s="32"/>
      <c r="O108" s="32" t="s">
        <v>182</v>
      </c>
      <c r="P108" s="32"/>
      <c r="Q108" s="32"/>
      <c r="R108" s="33" t="s">
        <v>111</v>
      </c>
      <c r="S108" s="33"/>
      <c r="T108" s="34">
        <f>10511.05</f>
        <v>10511.05</v>
      </c>
      <c r="U108" s="34"/>
      <c r="V108" s="34"/>
      <c r="W108" s="36" t="s">
        <v>45</v>
      </c>
      <c r="X108" s="36"/>
      <c r="Y108" s="36"/>
      <c r="Z108" s="36"/>
      <c r="AA108" s="36"/>
      <c r="AB108" s="35">
        <f>10511.05</f>
        <v>10511.05</v>
      </c>
      <c r="AC108" s="35"/>
    </row>
    <row r="109" spans="1:29" s="1" customFormat="1" ht="13.5" customHeight="1">
      <c r="A109" s="31" t="s">
        <v>135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2" t="s">
        <v>97</v>
      </c>
      <c r="M109" s="32"/>
      <c r="N109" s="32"/>
      <c r="O109" s="32" t="s">
        <v>183</v>
      </c>
      <c r="P109" s="32"/>
      <c r="Q109" s="32"/>
      <c r="R109" s="33" t="s">
        <v>136</v>
      </c>
      <c r="S109" s="33"/>
      <c r="T109" s="34">
        <f>1200000</f>
        <v>1200000</v>
      </c>
      <c r="U109" s="34"/>
      <c r="V109" s="34"/>
      <c r="W109" s="34">
        <f>744189.85</f>
        <v>744189.85</v>
      </c>
      <c r="X109" s="34"/>
      <c r="Y109" s="34"/>
      <c r="Z109" s="34"/>
      <c r="AA109" s="34"/>
      <c r="AB109" s="35">
        <f>455810.15</f>
        <v>455810.15</v>
      </c>
      <c r="AC109" s="35"/>
    </row>
    <row r="110" spans="1:29" s="1" customFormat="1" ht="13.5" customHeight="1">
      <c r="A110" s="31" t="s">
        <v>135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2" t="s">
        <v>97</v>
      </c>
      <c r="M110" s="32"/>
      <c r="N110" s="32"/>
      <c r="O110" s="32" t="s">
        <v>184</v>
      </c>
      <c r="P110" s="32"/>
      <c r="Q110" s="32"/>
      <c r="R110" s="33" t="s">
        <v>136</v>
      </c>
      <c r="S110" s="33"/>
      <c r="T110" s="34">
        <f>750000</f>
        <v>750000</v>
      </c>
      <c r="U110" s="34"/>
      <c r="V110" s="34"/>
      <c r="W110" s="34">
        <f>537704.95</f>
        <v>537704.95</v>
      </c>
      <c r="X110" s="34"/>
      <c r="Y110" s="34"/>
      <c r="Z110" s="34"/>
      <c r="AA110" s="34"/>
      <c r="AB110" s="35">
        <f>212295.05</f>
        <v>212295.05</v>
      </c>
      <c r="AC110" s="35"/>
    </row>
    <row r="111" spans="1:29" s="1" customFormat="1" ht="13.5" customHeight="1">
      <c r="A111" s="31" t="s">
        <v>137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2" t="s">
        <v>97</v>
      </c>
      <c r="M111" s="32"/>
      <c r="N111" s="32"/>
      <c r="O111" s="32" t="s">
        <v>185</v>
      </c>
      <c r="P111" s="32"/>
      <c r="Q111" s="32"/>
      <c r="R111" s="33" t="s">
        <v>138</v>
      </c>
      <c r="S111" s="33"/>
      <c r="T111" s="34">
        <f>828486.14</f>
        <v>828486.14</v>
      </c>
      <c r="U111" s="34"/>
      <c r="V111" s="34"/>
      <c r="W111" s="34">
        <f>828486.14</f>
        <v>828486.14</v>
      </c>
      <c r="X111" s="34"/>
      <c r="Y111" s="34"/>
      <c r="Z111" s="34"/>
      <c r="AA111" s="34"/>
      <c r="AB111" s="35">
        <f>0</f>
        <v>0</v>
      </c>
      <c r="AC111" s="35"/>
    </row>
    <row r="112" spans="1:29" s="1" customFormat="1" ht="13.5" customHeight="1">
      <c r="A112" s="31" t="s">
        <v>145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2" t="s">
        <v>97</v>
      </c>
      <c r="M112" s="32"/>
      <c r="N112" s="32"/>
      <c r="O112" s="32" t="s">
        <v>185</v>
      </c>
      <c r="P112" s="32"/>
      <c r="Q112" s="32"/>
      <c r="R112" s="33" t="s">
        <v>146</v>
      </c>
      <c r="S112" s="33"/>
      <c r="T112" s="34">
        <f>421300</f>
        <v>421300</v>
      </c>
      <c r="U112" s="34"/>
      <c r="V112" s="34"/>
      <c r="W112" s="34">
        <f>421300</f>
        <v>421300</v>
      </c>
      <c r="X112" s="34"/>
      <c r="Y112" s="34"/>
      <c r="Z112" s="34"/>
      <c r="AA112" s="34"/>
      <c r="AB112" s="35">
        <f>0</f>
        <v>0</v>
      </c>
      <c r="AC112" s="35"/>
    </row>
    <row r="113" spans="1:29" s="1" customFormat="1" ht="13.5" customHeight="1">
      <c r="A113" s="31" t="s">
        <v>133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2" t="s">
        <v>97</v>
      </c>
      <c r="M113" s="32"/>
      <c r="N113" s="32"/>
      <c r="O113" s="32" t="s">
        <v>186</v>
      </c>
      <c r="P113" s="32"/>
      <c r="Q113" s="32"/>
      <c r="R113" s="33" t="s">
        <v>134</v>
      </c>
      <c r="S113" s="33"/>
      <c r="T113" s="34">
        <f>1231485.69</f>
        <v>1231485.69</v>
      </c>
      <c r="U113" s="34"/>
      <c r="V113" s="34"/>
      <c r="W113" s="34">
        <f>851598.81</f>
        <v>851598.81</v>
      </c>
      <c r="X113" s="34"/>
      <c r="Y113" s="34"/>
      <c r="Z113" s="34"/>
      <c r="AA113" s="34"/>
      <c r="AB113" s="35">
        <f>379886.88</f>
        <v>379886.88</v>
      </c>
      <c r="AC113" s="35"/>
    </row>
    <row r="114" spans="1:29" s="1" customFormat="1" ht="13.5" customHeight="1">
      <c r="A114" s="31" t="s">
        <v>135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2" t="s">
        <v>97</v>
      </c>
      <c r="M114" s="32"/>
      <c r="N114" s="32"/>
      <c r="O114" s="32" t="s">
        <v>187</v>
      </c>
      <c r="P114" s="32"/>
      <c r="Q114" s="32"/>
      <c r="R114" s="33" t="s">
        <v>136</v>
      </c>
      <c r="S114" s="33"/>
      <c r="T114" s="34">
        <f>385100</f>
        <v>385100</v>
      </c>
      <c r="U114" s="34"/>
      <c r="V114" s="34"/>
      <c r="W114" s="34">
        <f>371656</f>
        <v>371656</v>
      </c>
      <c r="X114" s="34"/>
      <c r="Y114" s="34"/>
      <c r="Z114" s="34"/>
      <c r="AA114" s="34"/>
      <c r="AB114" s="35">
        <f>13444</f>
        <v>13444</v>
      </c>
      <c r="AC114" s="35"/>
    </row>
    <row r="115" spans="1:29" s="1" customFormat="1" ht="13.5" customHeight="1">
      <c r="A115" s="31" t="s">
        <v>143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2" t="s">
        <v>97</v>
      </c>
      <c r="M115" s="32"/>
      <c r="N115" s="32"/>
      <c r="O115" s="32" t="s">
        <v>187</v>
      </c>
      <c r="P115" s="32"/>
      <c r="Q115" s="32"/>
      <c r="R115" s="33" t="s">
        <v>144</v>
      </c>
      <c r="S115" s="33"/>
      <c r="T115" s="34">
        <f>614900</f>
        <v>614900</v>
      </c>
      <c r="U115" s="34"/>
      <c r="V115" s="34"/>
      <c r="W115" s="34">
        <f>614900</f>
        <v>614900</v>
      </c>
      <c r="X115" s="34"/>
      <c r="Y115" s="34"/>
      <c r="Z115" s="34"/>
      <c r="AA115" s="34"/>
      <c r="AB115" s="35">
        <f>0</f>
        <v>0</v>
      </c>
      <c r="AC115" s="35"/>
    </row>
    <row r="116" spans="1:29" s="1" customFormat="1" ht="13.5" customHeight="1">
      <c r="A116" s="31" t="s">
        <v>135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2" t="s">
        <v>97</v>
      </c>
      <c r="M116" s="32"/>
      <c r="N116" s="32"/>
      <c r="O116" s="32" t="s">
        <v>188</v>
      </c>
      <c r="P116" s="32"/>
      <c r="Q116" s="32"/>
      <c r="R116" s="33" t="s">
        <v>136</v>
      </c>
      <c r="S116" s="33"/>
      <c r="T116" s="34">
        <f>208569</f>
        <v>208569</v>
      </c>
      <c r="U116" s="34"/>
      <c r="V116" s="34"/>
      <c r="W116" s="36" t="s">
        <v>45</v>
      </c>
      <c r="X116" s="36"/>
      <c r="Y116" s="36"/>
      <c r="Z116" s="36"/>
      <c r="AA116" s="36"/>
      <c r="AB116" s="35">
        <f>208569</f>
        <v>208569</v>
      </c>
      <c r="AC116" s="35"/>
    </row>
    <row r="117" spans="1:29" s="1" customFormat="1" ht="13.5" customHeight="1">
      <c r="A117" s="31" t="s">
        <v>143</v>
      </c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2" t="s">
        <v>97</v>
      </c>
      <c r="M117" s="32"/>
      <c r="N117" s="32"/>
      <c r="O117" s="32" t="s">
        <v>188</v>
      </c>
      <c r="P117" s="32"/>
      <c r="Q117" s="32"/>
      <c r="R117" s="33" t="s">
        <v>144</v>
      </c>
      <c r="S117" s="33"/>
      <c r="T117" s="34">
        <f>434325.4</f>
        <v>434325.4</v>
      </c>
      <c r="U117" s="34"/>
      <c r="V117" s="34"/>
      <c r="W117" s="34">
        <f>434325.4</f>
        <v>434325.4</v>
      </c>
      <c r="X117" s="34"/>
      <c r="Y117" s="34"/>
      <c r="Z117" s="34"/>
      <c r="AA117" s="34"/>
      <c r="AB117" s="35">
        <f>0</f>
        <v>0</v>
      </c>
      <c r="AC117" s="35"/>
    </row>
    <row r="118" spans="1:29" s="1" customFormat="1" ht="13.5" customHeight="1">
      <c r="A118" s="31" t="s">
        <v>135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2" t="s">
        <v>97</v>
      </c>
      <c r="M118" s="32"/>
      <c r="N118" s="32"/>
      <c r="O118" s="32" t="s">
        <v>189</v>
      </c>
      <c r="P118" s="32"/>
      <c r="Q118" s="32"/>
      <c r="R118" s="33" t="s">
        <v>136</v>
      </c>
      <c r="S118" s="33"/>
      <c r="T118" s="34">
        <f>3245467</f>
        <v>3245467</v>
      </c>
      <c r="U118" s="34"/>
      <c r="V118" s="34"/>
      <c r="W118" s="34">
        <f>3245467</f>
        <v>3245467</v>
      </c>
      <c r="X118" s="34"/>
      <c r="Y118" s="34"/>
      <c r="Z118" s="34"/>
      <c r="AA118" s="34"/>
      <c r="AB118" s="35">
        <f>0</f>
        <v>0</v>
      </c>
      <c r="AC118" s="35"/>
    </row>
    <row r="119" spans="1:29" s="1" customFormat="1" ht="13.5" customHeight="1">
      <c r="A119" s="31" t="s">
        <v>135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2" t="s">
        <v>97</v>
      </c>
      <c r="M119" s="32"/>
      <c r="N119" s="32"/>
      <c r="O119" s="32" t="s">
        <v>190</v>
      </c>
      <c r="P119" s="32"/>
      <c r="Q119" s="32"/>
      <c r="R119" s="33" t="s">
        <v>136</v>
      </c>
      <c r="S119" s="33"/>
      <c r="T119" s="34">
        <f>0.2</f>
        <v>0.2</v>
      </c>
      <c r="U119" s="34"/>
      <c r="V119" s="34"/>
      <c r="W119" s="34">
        <f>0.2</f>
        <v>0.2</v>
      </c>
      <c r="X119" s="34"/>
      <c r="Y119" s="34"/>
      <c r="Z119" s="34"/>
      <c r="AA119" s="34"/>
      <c r="AB119" s="35">
        <f>0</f>
        <v>0</v>
      </c>
      <c r="AC119" s="35"/>
    </row>
    <row r="120" spans="1:29" s="1" customFormat="1" ht="13.5" customHeight="1">
      <c r="A120" s="31" t="s">
        <v>143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2" t="s">
        <v>97</v>
      </c>
      <c r="M120" s="32"/>
      <c r="N120" s="32"/>
      <c r="O120" s="32" t="s">
        <v>190</v>
      </c>
      <c r="P120" s="32"/>
      <c r="Q120" s="32"/>
      <c r="R120" s="33" t="s">
        <v>144</v>
      </c>
      <c r="S120" s="33"/>
      <c r="T120" s="34">
        <f>10000</f>
        <v>10000</v>
      </c>
      <c r="U120" s="34"/>
      <c r="V120" s="34"/>
      <c r="W120" s="34">
        <f>10000</f>
        <v>10000</v>
      </c>
      <c r="X120" s="34"/>
      <c r="Y120" s="34"/>
      <c r="Z120" s="34"/>
      <c r="AA120" s="34"/>
      <c r="AB120" s="35">
        <f>0</f>
        <v>0</v>
      </c>
      <c r="AC120" s="35"/>
    </row>
    <row r="121" spans="1:29" s="1" customFormat="1" ht="13.5" customHeight="1">
      <c r="A121" s="31" t="s">
        <v>110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2" t="s">
        <v>97</v>
      </c>
      <c r="M121" s="32"/>
      <c r="N121" s="32"/>
      <c r="O121" s="32" t="s">
        <v>191</v>
      </c>
      <c r="P121" s="32"/>
      <c r="Q121" s="32"/>
      <c r="R121" s="33" t="s">
        <v>111</v>
      </c>
      <c r="S121" s="33"/>
      <c r="T121" s="34">
        <f>354700</f>
        <v>354700</v>
      </c>
      <c r="U121" s="34"/>
      <c r="V121" s="34"/>
      <c r="W121" s="34">
        <f>354700</f>
        <v>354700</v>
      </c>
      <c r="X121" s="34"/>
      <c r="Y121" s="34"/>
      <c r="Z121" s="34"/>
      <c r="AA121" s="34"/>
      <c r="AB121" s="35">
        <f>0</f>
        <v>0</v>
      </c>
      <c r="AC121" s="35"/>
    </row>
    <row r="122" spans="1:29" s="1" customFormat="1" ht="13.5" customHeight="1">
      <c r="A122" s="31" t="s">
        <v>135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2" t="s">
        <v>97</v>
      </c>
      <c r="M122" s="32"/>
      <c r="N122" s="32"/>
      <c r="O122" s="32" t="s">
        <v>192</v>
      </c>
      <c r="P122" s="32"/>
      <c r="Q122" s="32"/>
      <c r="R122" s="33" t="s">
        <v>136</v>
      </c>
      <c r="S122" s="33"/>
      <c r="T122" s="34">
        <f>794998.12</f>
        <v>794998.12</v>
      </c>
      <c r="U122" s="34"/>
      <c r="V122" s="34"/>
      <c r="W122" s="34">
        <f>658362.4</f>
        <v>658362.4</v>
      </c>
      <c r="X122" s="34"/>
      <c r="Y122" s="34"/>
      <c r="Z122" s="34"/>
      <c r="AA122" s="34"/>
      <c r="AB122" s="35">
        <f>136635.72</f>
        <v>136635.72</v>
      </c>
      <c r="AC122" s="35"/>
    </row>
    <row r="123" spans="1:29" s="1" customFormat="1" ht="13.5" customHeight="1">
      <c r="A123" s="31" t="s">
        <v>145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2" t="s">
        <v>97</v>
      </c>
      <c r="M123" s="32"/>
      <c r="N123" s="32"/>
      <c r="O123" s="32" t="s">
        <v>192</v>
      </c>
      <c r="P123" s="32"/>
      <c r="Q123" s="32"/>
      <c r="R123" s="33" t="s">
        <v>146</v>
      </c>
      <c r="S123" s="33"/>
      <c r="T123" s="34">
        <f>130841</f>
        <v>130841</v>
      </c>
      <c r="U123" s="34"/>
      <c r="V123" s="34"/>
      <c r="W123" s="34">
        <f>130841</f>
        <v>130841</v>
      </c>
      <c r="X123" s="34"/>
      <c r="Y123" s="34"/>
      <c r="Z123" s="34"/>
      <c r="AA123" s="34"/>
      <c r="AB123" s="35">
        <f>0</f>
        <v>0</v>
      </c>
      <c r="AC123" s="35"/>
    </row>
    <row r="124" spans="1:29" s="1" customFormat="1" ht="24" customHeight="1">
      <c r="A124" s="31" t="s">
        <v>124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2" t="s">
        <v>97</v>
      </c>
      <c r="M124" s="32"/>
      <c r="N124" s="32"/>
      <c r="O124" s="32" t="s">
        <v>192</v>
      </c>
      <c r="P124" s="32"/>
      <c r="Q124" s="32"/>
      <c r="R124" s="33" t="s">
        <v>126</v>
      </c>
      <c r="S124" s="33"/>
      <c r="T124" s="34">
        <f>9200</f>
        <v>9200</v>
      </c>
      <c r="U124" s="34"/>
      <c r="V124" s="34"/>
      <c r="W124" s="34">
        <f>9200</f>
        <v>9200</v>
      </c>
      <c r="X124" s="34"/>
      <c r="Y124" s="34"/>
      <c r="Z124" s="34"/>
      <c r="AA124" s="34"/>
      <c r="AB124" s="35">
        <f>0</f>
        <v>0</v>
      </c>
      <c r="AC124" s="35"/>
    </row>
    <row r="125" spans="1:29" s="1" customFormat="1" ht="13.5" customHeight="1">
      <c r="A125" s="31" t="s">
        <v>135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2" t="s">
        <v>97</v>
      </c>
      <c r="M125" s="32"/>
      <c r="N125" s="32"/>
      <c r="O125" s="32" t="s">
        <v>193</v>
      </c>
      <c r="P125" s="32"/>
      <c r="Q125" s="32"/>
      <c r="R125" s="33" t="s">
        <v>136</v>
      </c>
      <c r="S125" s="33"/>
      <c r="T125" s="34">
        <f>100000</f>
        <v>100000</v>
      </c>
      <c r="U125" s="34"/>
      <c r="V125" s="34"/>
      <c r="W125" s="36" t="s">
        <v>45</v>
      </c>
      <c r="X125" s="36"/>
      <c r="Y125" s="36"/>
      <c r="Z125" s="36"/>
      <c r="AA125" s="36"/>
      <c r="AB125" s="35">
        <f>100000</f>
        <v>100000</v>
      </c>
      <c r="AC125" s="35"/>
    </row>
    <row r="126" spans="1:29" s="1" customFormat="1" ht="13.5" customHeight="1">
      <c r="A126" s="31" t="s">
        <v>110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2" t="s">
        <v>97</v>
      </c>
      <c r="M126" s="32"/>
      <c r="N126" s="32"/>
      <c r="O126" s="32" t="s">
        <v>194</v>
      </c>
      <c r="P126" s="32"/>
      <c r="Q126" s="32"/>
      <c r="R126" s="33" t="s">
        <v>111</v>
      </c>
      <c r="S126" s="33"/>
      <c r="T126" s="34">
        <f>76080</f>
        <v>76080</v>
      </c>
      <c r="U126" s="34"/>
      <c r="V126" s="34"/>
      <c r="W126" s="34">
        <f>69648</f>
        <v>69648</v>
      </c>
      <c r="X126" s="34"/>
      <c r="Y126" s="34"/>
      <c r="Z126" s="34"/>
      <c r="AA126" s="34"/>
      <c r="AB126" s="35">
        <f>6432</f>
        <v>6432</v>
      </c>
      <c r="AC126" s="35"/>
    </row>
    <row r="127" spans="1:29" s="1" customFormat="1" ht="13.5" customHeight="1">
      <c r="A127" s="31" t="s">
        <v>145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2" t="s">
        <v>97</v>
      </c>
      <c r="M127" s="32"/>
      <c r="N127" s="32"/>
      <c r="O127" s="32" t="s">
        <v>195</v>
      </c>
      <c r="P127" s="32"/>
      <c r="Q127" s="32"/>
      <c r="R127" s="33" t="s">
        <v>146</v>
      </c>
      <c r="S127" s="33"/>
      <c r="T127" s="34">
        <f>2510</f>
        <v>2510</v>
      </c>
      <c r="U127" s="34"/>
      <c r="V127" s="34"/>
      <c r="W127" s="34">
        <f>2510</f>
        <v>2510</v>
      </c>
      <c r="X127" s="34"/>
      <c r="Y127" s="34"/>
      <c r="Z127" s="34"/>
      <c r="AA127" s="34"/>
      <c r="AB127" s="35">
        <f>0</f>
        <v>0</v>
      </c>
      <c r="AC127" s="35"/>
    </row>
    <row r="128" spans="1:29" s="1" customFormat="1" ht="13.5" customHeight="1">
      <c r="A128" s="31" t="s">
        <v>133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2" t="s">
        <v>97</v>
      </c>
      <c r="M128" s="32"/>
      <c r="N128" s="32"/>
      <c r="O128" s="32" t="s">
        <v>196</v>
      </c>
      <c r="P128" s="32"/>
      <c r="Q128" s="32"/>
      <c r="R128" s="33" t="s">
        <v>134</v>
      </c>
      <c r="S128" s="33"/>
      <c r="T128" s="34">
        <f>350000</f>
        <v>350000</v>
      </c>
      <c r="U128" s="34"/>
      <c r="V128" s="34"/>
      <c r="W128" s="34">
        <f>230172.67</f>
        <v>230172.67</v>
      </c>
      <c r="X128" s="34"/>
      <c r="Y128" s="34"/>
      <c r="Z128" s="34"/>
      <c r="AA128" s="34"/>
      <c r="AB128" s="35">
        <f>119827.33</f>
        <v>119827.33</v>
      </c>
      <c r="AC128" s="35"/>
    </row>
    <row r="129" spans="1:29" s="1" customFormat="1" ht="13.5" customHeight="1">
      <c r="A129" s="31" t="s">
        <v>135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2" t="s">
        <v>97</v>
      </c>
      <c r="M129" s="32"/>
      <c r="N129" s="32"/>
      <c r="O129" s="32" t="s">
        <v>197</v>
      </c>
      <c r="P129" s="32"/>
      <c r="Q129" s="32"/>
      <c r="R129" s="33" t="s">
        <v>136</v>
      </c>
      <c r="S129" s="33"/>
      <c r="T129" s="34">
        <f>81695.26</f>
        <v>81695.26</v>
      </c>
      <c r="U129" s="34"/>
      <c r="V129" s="34"/>
      <c r="W129" s="34">
        <f>59302.64</f>
        <v>59302.64</v>
      </c>
      <c r="X129" s="34"/>
      <c r="Y129" s="34"/>
      <c r="Z129" s="34"/>
      <c r="AA129" s="34"/>
      <c r="AB129" s="35">
        <f>22392.62</f>
        <v>22392.62</v>
      </c>
      <c r="AC129" s="35"/>
    </row>
    <row r="130" spans="1:29" s="1" customFormat="1" ht="13.5" customHeight="1">
      <c r="A130" s="31" t="s">
        <v>110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2" t="s">
        <v>97</v>
      </c>
      <c r="M130" s="32"/>
      <c r="N130" s="32"/>
      <c r="O130" s="32" t="s">
        <v>198</v>
      </c>
      <c r="P130" s="32"/>
      <c r="Q130" s="32"/>
      <c r="R130" s="33" t="s">
        <v>111</v>
      </c>
      <c r="S130" s="33"/>
      <c r="T130" s="34">
        <f>4770</f>
        <v>4770</v>
      </c>
      <c r="U130" s="34"/>
      <c r="V130" s="34"/>
      <c r="W130" s="34">
        <f>4770</f>
        <v>4770</v>
      </c>
      <c r="X130" s="34"/>
      <c r="Y130" s="34"/>
      <c r="Z130" s="34"/>
      <c r="AA130" s="34"/>
      <c r="AB130" s="35">
        <f>0</f>
        <v>0</v>
      </c>
      <c r="AC130" s="35"/>
    </row>
    <row r="131" spans="1:29" s="1" customFormat="1" ht="13.5" customHeight="1">
      <c r="A131" s="31" t="s">
        <v>135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2" t="s">
        <v>97</v>
      </c>
      <c r="M131" s="32"/>
      <c r="N131" s="32"/>
      <c r="O131" s="32" t="s">
        <v>199</v>
      </c>
      <c r="P131" s="32"/>
      <c r="Q131" s="32"/>
      <c r="R131" s="33" t="s">
        <v>136</v>
      </c>
      <c r="S131" s="33"/>
      <c r="T131" s="34">
        <f>20000</f>
        <v>20000</v>
      </c>
      <c r="U131" s="34"/>
      <c r="V131" s="34"/>
      <c r="W131" s="36" t="s">
        <v>45</v>
      </c>
      <c r="X131" s="36"/>
      <c r="Y131" s="36"/>
      <c r="Z131" s="36"/>
      <c r="AA131" s="36"/>
      <c r="AB131" s="35">
        <f>20000</f>
        <v>20000</v>
      </c>
      <c r="AC131" s="35"/>
    </row>
    <row r="132" spans="1:29" s="1" customFormat="1" ht="13.5" customHeight="1">
      <c r="A132" s="31" t="s">
        <v>110</v>
      </c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2" t="s">
        <v>97</v>
      </c>
      <c r="M132" s="32"/>
      <c r="N132" s="32"/>
      <c r="O132" s="32" t="s">
        <v>199</v>
      </c>
      <c r="P132" s="32"/>
      <c r="Q132" s="32"/>
      <c r="R132" s="33" t="s">
        <v>111</v>
      </c>
      <c r="S132" s="33"/>
      <c r="T132" s="34">
        <f>66305.54</f>
        <v>66305.54</v>
      </c>
      <c r="U132" s="34"/>
      <c r="V132" s="34"/>
      <c r="W132" s="34">
        <f>45447</f>
        <v>45447</v>
      </c>
      <c r="X132" s="34"/>
      <c r="Y132" s="34"/>
      <c r="Z132" s="34"/>
      <c r="AA132" s="34"/>
      <c r="AB132" s="35">
        <f>20858.54</f>
        <v>20858.54</v>
      </c>
      <c r="AC132" s="35"/>
    </row>
    <row r="133" spans="1:29" s="1" customFormat="1" ht="13.5" customHeight="1">
      <c r="A133" s="31" t="s">
        <v>135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2" t="s">
        <v>97</v>
      </c>
      <c r="M133" s="32"/>
      <c r="N133" s="32"/>
      <c r="O133" s="32" t="s">
        <v>200</v>
      </c>
      <c r="P133" s="32"/>
      <c r="Q133" s="32"/>
      <c r="R133" s="33" t="s">
        <v>136</v>
      </c>
      <c r="S133" s="33"/>
      <c r="T133" s="34">
        <f>67723.43</f>
        <v>67723.43</v>
      </c>
      <c r="U133" s="34"/>
      <c r="V133" s="34"/>
      <c r="W133" s="36" t="s">
        <v>45</v>
      </c>
      <c r="X133" s="36"/>
      <c r="Y133" s="36"/>
      <c r="Z133" s="36"/>
      <c r="AA133" s="36"/>
      <c r="AB133" s="35">
        <f>67723.43</f>
        <v>67723.43</v>
      </c>
      <c r="AC133" s="35"/>
    </row>
    <row r="134" spans="1:29" s="1" customFormat="1" ht="13.5" customHeight="1">
      <c r="A134" s="31" t="s">
        <v>137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2" t="s">
        <v>97</v>
      </c>
      <c r="M134" s="32"/>
      <c r="N134" s="32"/>
      <c r="O134" s="32" t="s">
        <v>200</v>
      </c>
      <c r="P134" s="32"/>
      <c r="Q134" s="32"/>
      <c r="R134" s="33" t="s">
        <v>138</v>
      </c>
      <c r="S134" s="33"/>
      <c r="T134" s="34">
        <f>52500</f>
        <v>52500</v>
      </c>
      <c r="U134" s="34"/>
      <c r="V134" s="34"/>
      <c r="W134" s="34">
        <f>52500</f>
        <v>52500</v>
      </c>
      <c r="X134" s="34"/>
      <c r="Y134" s="34"/>
      <c r="Z134" s="34"/>
      <c r="AA134" s="34"/>
      <c r="AB134" s="35">
        <f>0</f>
        <v>0</v>
      </c>
      <c r="AC134" s="35"/>
    </row>
    <row r="135" spans="1:29" s="1" customFormat="1" ht="13.5" customHeight="1">
      <c r="A135" s="31" t="s">
        <v>145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2" t="s">
        <v>97</v>
      </c>
      <c r="M135" s="32"/>
      <c r="N135" s="32"/>
      <c r="O135" s="32" t="s">
        <v>200</v>
      </c>
      <c r="P135" s="32"/>
      <c r="Q135" s="32"/>
      <c r="R135" s="33" t="s">
        <v>146</v>
      </c>
      <c r="S135" s="33"/>
      <c r="T135" s="34">
        <f>59860</f>
        <v>59860</v>
      </c>
      <c r="U135" s="34"/>
      <c r="V135" s="34"/>
      <c r="W135" s="34">
        <f>59860</f>
        <v>59860</v>
      </c>
      <c r="X135" s="34"/>
      <c r="Y135" s="34"/>
      <c r="Z135" s="34"/>
      <c r="AA135" s="34"/>
      <c r="AB135" s="35">
        <f>0</f>
        <v>0</v>
      </c>
      <c r="AC135" s="35"/>
    </row>
    <row r="136" spans="1:29" s="1" customFormat="1" ht="13.5" customHeight="1">
      <c r="A136" s="31" t="s">
        <v>201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2" t="s">
        <v>97</v>
      </c>
      <c r="M136" s="32"/>
      <c r="N136" s="32"/>
      <c r="O136" s="32" t="s">
        <v>202</v>
      </c>
      <c r="P136" s="32"/>
      <c r="Q136" s="32"/>
      <c r="R136" s="33" t="s">
        <v>203</v>
      </c>
      <c r="S136" s="33"/>
      <c r="T136" s="34">
        <f>291068</f>
        <v>291068</v>
      </c>
      <c r="U136" s="34"/>
      <c r="V136" s="34"/>
      <c r="W136" s="34">
        <f>291068</f>
        <v>291068</v>
      </c>
      <c r="X136" s="34"/>
      <c r="Y136" s="34"/>
      <c r="Z136" s="34"/>
      <c r="AA136" s="34"/>
      <c r="AB136" s="35">
        <f>0</f>
        <v>0</v>
      </c>
      <c r="AC136" s="35"/>
    </row>
    <row r="137" spans="1:29" s="1" customFormat="1" ht="13.5" customHeight="1">
      <c r="A137" s="31" t="s">
        <v>145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2" t="s">
        <v>97</v>
      </c>
      <c r="M137" s="32"/>
      <c r="N137" s="32"/>
      <c r="O137" s="32" t="s">
        <v>204</v>
      </c>
      <c r="P137" s="32"/>
      <c r="Q137" s="32"/>
      <c r="R137" s="33" t="s">
        <v>146</v>
      </c>
      <c r="S137" s="33"/>
      <c r="T137" s="34">
        <f>502065</f>
        <v>502065</v>
      </c>
      <c r="U137" s="34"/>
      <c r="V137" s="34"/>
      <c r="W137" s="34">
        <f>502065</f>
        <v>502065</v>
      </c>
      <c r="X137" s="34"/>
      <c r="Y137" s="34"/>
      <c r="Z137" s="34"/>
      <c r="AA137" s="34"/>
      <c r="AB137" s="35">
        <f>0</f>
        <v>0</v>
      </c>
      <c r="AC137" s="35"/>
    </row>
    <row r="138" spans="1:29" s="1" customFormat="1" ht="13.5" customHeight="1">
      <c r="A138" s="31" t="s">
        <v>143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2" t="s">
        <v>97</v>
      </c>
      <c r="M138" s="32"/>
      <c r="N138" s="32"/>
      <c r="O138" s="32" t="s">
        <v>205</v>
      </c>
      <c r="P138" s="32"/>
      <c r="Q138" s="32"/>
      <c r="R138" s="33" t="s">
        <v>144</v>
      </c>
      <c r="S138" s="33"/>
      <c r="T138" s="34">
        <f>4240</f>
        <v>4240</v>
      </c>
      <c r="U138" s="34"/>
      <c r="V138" s="34"/>
      <c r="W138" s="34">
        <f>4240</f>
        <v>4240</v>
      </c>
      <c r="X138" s="34"/>
      <c r="Y138" s="34"/>
      <c r="Z138" s="34"/>
      <c r="AA138" s="34"/>
      <c r="AB138" s="35">
        <f>0</f>
        <v>0</v>
      </c>
      <c r="AC138" s="35"/>
    </row>
    <row r="139" spans="1:29" s="1" customFormat="1" ht="13.5" customHeight="1">
      <c r="A139" s="31" t="s">
        <v>145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2" t="s">
        <v>97</v>
      </c>
      <c r="M139" s="32"/>
      <c r="N139" s="32"/>
      <c r="O139" s="32" t="s">
        <v>205</v>
      </c>
      <c r="P139" s="32"/>
      <c r="Q139" s="32"/>
      <c r="R139" s="33" t="s">
        <v>146</v>
      </c>
      <c r="S139" s="33"/>
      <c r="T139" s="34">
        <f>7840</f>
        <v>7840</v>
      </c>
      <c r="U139" s="34"/>
      <c r="V139" s="34"/>
      <c r="W139" s="34">
        <f>4873</f>
        <v>4873</v>
      </c>
      <c r="X139" s="34"/>
      <c r="Y139" s="34"/>
      <c r="Z139" s="34"/>
      <c r="AA139" s="34"/>
      <c r="AB139" s="35">
        <f>2967</f>
        <v>2967</v>
      </c>
      <c r="AC139" s="35"/>
    </row>
    <row r="140" spans="1:29" s="1" customFormat="1" ht="24" customHeight="1">
      <c r="A140" s="31" t="s">
        <v>206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2" t="s">
        <v>97</v>
      </c>
      <c r="M140" s="32"/>
      <c r="N140" s="32"/>
      <c r="O140" s="32" t="s">
        <v>205</v>
      </c>
      <c r="P140" s="32"/>
      <c r="Q140" s="32"/>
      <c r="R140" s="33" t="s">
        <v>207</v>
      </c>
      <c r="S140" s="33"/>
      <c r="T140" s="34">
        <f>60000</f>
        <v>60000</v>
      </c>
      <c r="U140" s="34"/>
      <c r="V140" s="34"/>
      <c r="W140" s="34">
        <f>60000</f>
        <v>60000</v>
      </c>
      <c r="X140" s="34"/>
      <c r="Y140" s="34"/>
      <c r="Z140" s="34"/>
      <c r="AA140" s="34"/>
      <c r="AB140" s="35">
        <f>0</f>
        <v>0</v>
      </c>
      <c r="AC140" s="35"/>
    </row>
    <row r="141" spans="1:29" s="1" customFormat="1" ht="13.5" customHeight="1">
      <c r="A141" s="31" t="s">
        <v>201</v>
      </c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2" t="s">
        <v>97</v>
      </c>
      <c r="M141" s="32"/>
      <c r="N141" s="32"/>
      <c r="O141" s="32" t="s">
        <v>208</v>
      </c>
      <c r="P141" s="32"/>
      <c r="Q141" s="32"/>
      <c r="R141" s="33" t="s">
        <v>203</v>
      </c>
      <c r="S141" s="33"/>
      <c r="T141" s="34">
        <f>55500</f>
        <v>55500</v>
      </c>
      <c r="U141" s="34"/>
      <c r="V141" s="34"/>
      <c r="W141" s="34">
        <f>55500</f>
        <v>55500</v>
      </c>
      <c r="X141" s="34"/>
      <c r="Y141" s="34"/>
      <c r="Z141" s="34"/>
      <c r="AA141" s="34"/>
      <c r="AB141" s="35">
        <f>0</f>
        <v>0</v>
      </c>
      <c r="AC141" s="35"/>
    </row>
    <row r="142" spans="1:29" s="1" customFormat="1" ht="13.5" customHeight="1">
      <c r="A142" s="31" t="s">
        <v>135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2" t="s">
        <v>97</v>
      </c>
      <c r="M142" s="32"/>
      <c r="N142" s="32"/>
      <c r="O142" s="32" t="s">
        <v>208</v>
      </c>
      <c r="P142" s="32"/>
      <c r="Q142" s="32"/>
      <c r="R142" s="33" t="s">
        <v>136</v>
      </c>
      <c r="S142" s="33"/>
      <c r="T142" s="34">
        <f>650000</f>
        <v>650000</v>
      </c>
      <c r="U142" s="34"/>
      <c r="V142" s="34"/>
      <c r="W142" s="36" t="s">
        <v>45</v>
      </c>
      <c r="X142" s="36"/>
      <c r="Y142" s="36"/>
      <c r="Z142" s="36"/>
      <c r="AA142" s="36"/>
      <c r="AB142" s="35">
        <f>650000</f>
        <v>650000</v>
      </c>
      <c r="AC142" s="35"/>
    </row>
    <row r="143" spans="1:29" s="1" customFormat="1" ht="13.5" customHeight="1">
      <c r="A143" s="31" t="s">
        <v>137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2" t="s">
        <v>97</v>
      </c>
      <c r="M143" s="32"/>
      <c r="N143" s="32"/>
      <c r="O143" s="32" t="s">
        <v>208</v>
      </c>
      <c r="P143" s="32"/>
      <c r="Q143" s="32"/>
      <c r="R143" s="33" t="s">
        <v>138</v>
      </c>
      <c r="S143" s="33"/>
      <c r="T143" s="34">
        <f>346837</f>
        <v>346837</v>
      </c>
      <c r="U143" s="34"/>
      <c r="V143" s="34"/>
      <c r="W143" s="34">
        <f>346835</f>
        <v>346835</v>
      </c>
      <c r="X143" s="34"/>
      <c r="Y143" s="34"/>
      <c r="Z143" s="34"/>
      <c r="AA143" s="34"/>
      <c r="AB143" s="35">
        <f>2</f>
        <v>2</v>
      </c>
      <c r="AC143" s="35"/>
    </row>
    <row r="144" spans="1:29" s="1" customFormat="1" ht="13.5" customHeight="1">
      <c r="A144" s="31" t="s">
        <v>141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2" t="s">
        <v>97</v>
      </c>
      <c r="M144" s="32"/>
      <c r="N144" s="32"/>
      <c r="O144" s="32" t="s">
        <v>208</v>
      </c>
      <c r="P144" s="32"/>
      <c r="Q144" s="32"/>
      <c r="R144" s="33" t="s">
        <v>142</v>
      </c>
      <c r="S144" s="33"/>
      <c r="T144" s="34">
        <f>20000</f>
        <v>20000</v>
      </c>
      <c r="U144" s="34"/>
      <c r="V144" s="34"/>
      <c r="W144" s="34">
        <f>20000</f>
        <v>20000</v>
      </c>
      <c r="X144" s="34"/>
      <c r="Y144" s="34"/>
      <c r="Z144" s="34"/>
      <c r="AA144" s="34"/>
      <c r="AB144" s="35">
        <f>0</f>
        <v>0</v>
      </c>
      <c r="AC144" s="35"/>
    </row>
    <row r="145" spans="1:29" s="1" customFormat="1" ht="13.5" customHeight="1">
      <c r="A145" s="31" t="s">
        <v>143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2" t="s">
        <v>97</v>
      </c>
      <c r="M145" s="32"/>
      <c r="N145" s="32"/>
      <c r="O145" s="32" t="s">
        <v>208</v>
      </c>
      <c r="P145" s="32"/>
      <c r="Q145" s="32"/>
      <c r="R145" s="33" t="s">
        <v>144</v>
      </c>
      <c r="S145" s="33"/>
      <c r="T145" s="34">
        <f>31027.5</f>
        <v>31027.5</v>
      </c>
      <c r="U145" s="34"/>
      <c r="V145" s="34"/>
      <c r="W145" s="34">
        <f>22709</f>
        <v>22709</v>
      </c>
      <c r="X145" s="34"/>
      <c r="Y145" s="34"/>
      <c r="Z145" s="34"/>
      <c r="AA145" s="34"/>
      <c r="AB145" s="35">
        <f>8318.5</f>
        <v>8318.5</v>
      </c>
      <c r="AC145" s="35"/>
    </row>
    <row r="146" spans="1:29" s="1" customFormat="1" ht="13.5" customHeight="1">
      <c r="A146" s="31" t="s">
        <v>145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2" t="s">
        <v>97</v>
      </c>
      <c r="M146" s="32"/>
      <c r="N146" s="32"/>
      <c r="O146" s="32" t="s">
        <v>208</v>
      </c>
      <c r="P146" s="32"/>
      <c r="Q146" s="32"/>
      <c r="R146" s="33" t="s">
        <v>146</v>
      </c>
      <c r="S146" s="33"/>
      <c r="T146" s="34">
        <f>81649</f>
        <v>81649</v>
      </c>
      <c r="U146" s="34"/>
      <c r="V146" s="34"/>
      <c r="W146" s="34">
        <f>61182</f>
        <v>61182</v>
      </c>
      <c r="X146" s="34"/>
      <c r="Y146" s="34"/>
      <c r="Z146" s="34"/>
      <c r="AA146" s="34"/>
      <c r="AB146" s="35">
        <f>20467</f>
        <v>20467</v>
      </c>
      <c r="AC146" s="35"/>
    </row>
    <row r="147" spans="1:29" s="1" customFormat="1" ht="13.5" customHeight="1">
      <c r="A147" s="31" t="s">
        <v>110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2" t="s">
        <v>97</v>
      </c>
      <c r="M147" s="32"/>
      <c r="N147" s="32"/>
      <c r="O147" s="32" t="s">
        <v>209</v>
      </c>
      <c r="P147" s="32"/>
      <c r="Q147" s="32"/>
      <c r="R147" s="33" t="s">
        <v>111</v>
      </c>
      <c r="S147" s="33"/>
      <c r="T147" s="34">
        <f>70000</f>
        <v>70000</v>
      </c>
      <c r="U147" s="34"/>
      <c r="V147" s="34"/>
      <c r="W147" s="36" t="s">
        <v>45</v>
      </c>
      <c r="X147" s="36"/>
      <c r="Y147" s="36"/>
      <c r="Z147" s="36"/>
      <c r="AA147" s="36"/>
      <c r="AB147" s="35">
        <f>70000</f>
        <v>70000</v>
      </c>
      <c r="AC147" s="35"/>
    </row>
    <row r="148" spans="1:29" s="1" customFormat="1" ht="13.5" customHeight="1">
      <c r="A148" s="31" t="s">
        <v>145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2" t="s">
        <v>97</v>
      </c>
      <c r="M148" s="32"/>
      <c r="N148" s="32"/>
      <c r="O148" s="32" t="s">
        <v>209</v>
      </c>
      <c r="P148" s="32"/>
      <c r="Q148" s="32"/>
      <c r="R148" s="33" t="s">
        <v>146</v>
      </c>
      <c r="S148" s="33"/>
      <c r="T148" s="34">
        <f>69500</f>
        <v>69500</v>
      </c>
      <c r="U148" s="34"/>
      <c r="V148" s="34"/>
      <c r="W148" s="36" t="s">
        <v>45</v>
      </c>
      <c r="X148" s="36"/>
      <c r="Y148" s="36"/>
      <c r="Z148" s="36"/>
      <c r="AA148" s="36"/>
      <c r="AB148" s="35">
        <f>69500</f>
        <v>69500</v>
      </c>
      <c r="AC148" s="35"/>
    </row>
    <row r="149" spans="1:29" s="1" customFormat="1" ht="13.5" customHeight="1">
      <c r="A149" s="31" t="s">
        <v>110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2" t="s">
        <v>97</v>
      </c>
      <c r="M149" s="32"/>
      <c r="N149" s="32"/>
      <c r="O149" s="32" t="s">
        <v>210</v>
      </c>
      <c r="P149" s="32"/>
      <c r="Q149" s="32"/>
      <c r="R149" s="33" t="s">
        <v>111</v>
      </c>
      <c r="S149" s="33"/>
      <c r="T149" s="34">
        <f>15000</f>
        <v>15000</v>
      </c>
      <c r="U149" s="34"/>
      <c r="V149" s="34"/>
      <c r="W149" s="34">
        <f>15000</f>
        <v>15000</v>
      </c>
      <c r="X149" s="34"/>
      <c r="Y149" s="34"/>
      <c r="Z149" s="34"/>
      <c r="AA149" s="34"/>
      <c r="AB149" s="35">
        <f>0</f>
        <v>0</v>
      </c>
      <c r="AC149" s="35"/>
    </row>
    <row r="150" spans="1:29" s="1" customFormat="1" ht="13.5" customHeight="1">
      <c r="A150" s="31" t="s">
        <v>115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2" t="s">
        <v>97</v>
      </c>
      <c r="M150" s="32"/>
      <c r="N150" s="32"/>
      <c r="O150" s="32" t="s">
        <v>211</v>
      </c>
      <c r="P150" s="32"/>
      <c r="Q150" s="32"/>
      <c r="R150" s="33" t="s">
        <v>117</v>
      </c>
      <c r="S150" s="33"/>
      <c r="T150" s="34">
        <f>375461</f>
        <v>375461</v>
      </c>
      <c r="U150" s="34"/>
      <c r="V150" s="34"/>
      <c r="W150" s="34">
        <f>375461</f>
        <v>375461</v>
      </c>
      <c r="X150" s="34"/>
      <c r="Y150" s="34"/>
      <c r="Z150" s="34"/>
      <c r="AA150" s="34"/>
      <c r="AB150" s="35">
        <f>0</f>
        <v>0</v>
      </c>
      <c r="AC150" s="35"/>
    </row>
    <row r="151" spans="1:29" s="1" customFormat="1" ht="13.5" customHeight="1">
      <c r="A151" s="31" t="s">
        <v>98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2" t="s">
        <v>97</v>
      </c>
      <c r="M151" s="32"/>
      <c r="N151" s="32"/>
      <c r="O151" s="32" t="s">
        <v>212</v>
      </c>
      <c r="P151" s="32"/>
      <c r="Q151" s="32"/>
      <c r="R151" s="33" t="s">
        <v>100</v>
      </c>
      <c r="S151" s="33"/>
      <c r="T151" s="34">
        <f>462074.5</f>
        <v>462074.5</v>
      </c>
      <c r="U151" s="34"/>
      <c r="V151" s="34"/>
      <c r="W151" s="34">
        <f>321722.95</f>
        <v>321722.95</v>
      </c>
      <c r="X151" s="34"/>
      <c r="Y151" s="34"/>
      <c r="Z151" s="34"/>
      <c r="AA151" s="34"/>
      <c r="AB151" s="35">
        <f>140351.55</f>
        <v>140351.55</v>
      </c>
      <c r="AC151" s="35"/>
    </row>
    <row r="152" spans="1:29" s="1" customFormat="1" ht="13.5" customHeight="1">
      <c r="A152" s="31" t="s">
        <v>101</v>
      </c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2" t="s">
        <v>97</v>
      </c>
      <c r="M152" s="32"/>
      <c r="N152" s="32"/>
      <c r="O152" s="32" t="s">
        <v>213</v>
      </c>
      <c r="P152" s="32"/>
      <c r="Q152" s="32"/>
      <c r="R152" s="33" t="s">
        <v>103</v>
      </c>
      <c r="S152" s="33"/>
      <c r="T152" s="34">
        <f>133371.5</f>
        <v>133371.5</v>
      </c>
      <c r="U152" s="34"/>
      <c r="V152" s="34"/>
      <c r="W152" s="34">
        <f>86083.09</f>
        <v>86083.09</v>
      </c>
      <c r="X152" s="34"/>
      <c r="Y152" s="34"/>
      <c r="Z152" s="34"/>
      <c r="AA152" s="34"/>
      <c r="AB152" s="35">
        <f>47288.41</f>
        <v>47288.41</v>
      </c>
      <c r="AC152" s="35"/>
    </row>
    <row r="153" spans="1:29" s="1" customFormat="1" ht="13.5" customHeight="1">
      <c r="A153" s="31" t="s">
        <v>98</v>
      </c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2" t="s">
        <v>97</v>
      </c>
      <c r="M153" s="32"/>
      <c r="N153" s="32"/>
      <c r="O153" s="32" t="s">
        <v>214</v>
      </c>
      <c r="P153" s="32"/>
      <c r="Q153" s="32"/>
      <c r="R153" s="33" t="s">
        <v>100</v>
      </c>
      <c r="S153" s="33"/>
      <c r="T153" s="34">
        <f>23758.48</f>
        <v>23758.48</v>
      </c>
      <c r="U153" s="34"/>
      <c r="V153" s="34"/>
      <c r="W153" s="34">
        <f>23758.48</f>
        <v>23758.48</v>
      </c>
      <c r="X153" s="34"/>
      <c r="Y153" s="34"/>
      <c r="Z153" s="34"/>
      <c r="AA153" s="34"/>
      <c r="AB153" s="35">
        <f>0</f>
        <v>0</v>
      </c>
      <c r="AC153" s="35"/>
    </row>
    <row r="154" spans="1:29" s="1" customFormat="1" ht="13.5" customHeight="1">
      <c r="A154" s="31" t="s">
        <v>101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2" t="s">
        <v>97</v>
      </c>
      <c r="M154" s="32"/>
      <c r="N154" s="32"/>
      <c r="O154" s="32" t="s">
        <v>215</v>
      </c>
      <c r="P154" s="32"/>
      <c r="Q154" s="32"/>
      <c r="R154" s="33" t="s">
        <v>103</v>
      </c>
      <c r="S154" s="33"/>
      <c r="T154" s="34">
        <f>7175.06</f>
        <v>7175.06</v>
      </c>
      <c r="U154" s="34"/>
      <c r="V154" s="34"/>
      <c r="W154" s="34">
        <f>7175.06</f>
        <v>7175.06</v>
      </c>
      <c r="X154" s="34"/>
      <c r="Y154" s="34"/>
      <c r="Z154" s="34"/>
      <c r="AA154" s="34"/>
      <c r="AB154" s="35">
        <f>0</f>
        <v>0</v>
      </c>
      <c r="AC154" s="35"/>
    </row>
    <row r="155" spans="1:29" s="1" customFormat="1" ht="13.5" customHeight="1">
      <c r="A155" s="31" t="s">
        <v>110</v>
      </c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2" t="s">
        <v>97</v>
      </c>
      <c r="M155" s="32"/>
      <c r="N155" s="32"/>
      <c r="O155" s="32" t="s">
        <v>216</v>
      </c>
      <c r="P155" s="32"/>
      <c r="Q155" s="32"/>
      <c r="R155" s="33" t="s">
        <v>111</v>
      </c>
      <c r="S155" s="33"/>
      <c r="T155" s="34">
        <f>27939</f>
        <v>27939</v>
      </c>
      <c r="U155" s="34"/>
      <c r="V155" s="34"/>
      <c r="W155" s="34">
        <f>11995.88</f>
        <v>11995.88</v>
      </c>
      <c r="X155" s="34"/>
      <c r="Y155" s="34"/>
      <c r="Z155" s="34"/>
      <c r="AA155" s="34"/>
      <c r="AB155" s="35">
        <f>15943.12</f>
        <v>15943.12</v>
      </c>
      <c r="AC155" s="35"/>
    </row>
    <row r="156" spans="1:29" s="1" customFormat="1" ht="13.5" customHeight="1">
      <c r="A156" s="31" t="s">
        <v>143</v>
      </c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2" t="s">
        <v>97</v>
      </c>
      <c r="M156" s="32"/>
      <c r="N156" s="32"/>
      <c r="O156" s="32" t="s">
        <v>217</v>
      </c>
      <c r="P156" s="32"/>
      <c r="Q156" s="32"/>
      <c r="R156" s="33" t="s">
        <v>144</v>
      </c>
      <c r="S156" s="33"/>
      <c r="T156" s="34">
        <f>1740</f>
        <v>1740</v>
      </c>
      <c r="U156" s="34"/>
      <c r="V156" s="34"/>
      <c r="W156" s="34">
        <f>1740</f>
        <v>1740</v>
      </c>
      <c r="X156" s="34"/>
      <c r="Y156" s="34"/>
      <c r="Z156" s="34"/>
      <c r="AA156" s="34"/>
      <c r="AB156" s="35">
        <f>0</f>
        <v>0</v>
      </c>
      <c r="AC156" s="35"/>
    </row>
    <row r="157" spans="1:29" s="1" customFormat="1" ht="13.5" customHeight="1">
      <c r="A157" s="31" t="s">
        <v>137</v>
      </c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2" t="s">
        <v>97</v>
      </c>
      <c r="M157" s="32"/>
      <c r="N157" s="32"/>
      <c r="O157" s="32" t="s">
        <v>218</v>
      </c>
      <c r="P157" s="32"/>
      <c r="Q157" s="32"/>
      <c r="R157" s="33" t="s">
        <v>138</v>
      </c>
      <c r="S157" s="33"/>
      <c r="T157" s="34">
        <f>282999</f>
        <v>282999</v>
      </c>
      <c r="U157" s="34"/>
      <c r="V157" s="34"/>
      <c r="W157" s="34">
        <f>282999</f>
        <v>282999</v>
      </c>
      <c r="X157" s="34"/>
      <c r="Y157" s="34"/>
      <c r="Z157" s="34"/>
      <c r="AA157" s="34"/>
      <c r="AB157" s="35">
        <f>0</f>
        <v>0</v>
      </c>
      <c r="AC157" s="35"/>
    </row>
    <row r="158" spans="1:29" s="1" customFormat="1" ht="13.5" customHeight="1">
      <c r="A158" s="31" t="s">
        <v>145</v>
      </c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2" t="s">
        <v>97</v>
      </c>
      <c r="M158" s="32"/>
      <c r="N158" s="32"/>
      <c r="O158" s="32" t="s">
        <v>218</v>
      </c>
      <c r="P158" s="32"/>
      <c r="Q158" s="32"/>
      <c r="R158" s="33" t="s">
        <v>146</v>
      </c>
      <c r="S158" s="33"/>
      <c r="T158" s="34">
        <f>59631</f>
        <v>59631</v>
      </c>
      <c r="U158" s="34"/>
      <c r="V158" s="34"/>
      <c r="W158" s="34">
        <f>59631</f>
        <v>59631</v>
      </c>
      <c r="X158" s="34"/>
      <c r="Y158" s="34"/>
      <c r="Z158" s="34"/>
      <c r="AA158" s="34"/>
      <c r="AB158" s="35">
        <f>0</f>
        <v>0</v>
      </c>
      <c r="AC158" s="35"/>
    </row>
    <row r="159" spans="1:29" s="1" customFormat="1" ht="13.5" customHeight="1">
      <c r="A159" s="31" t="s">
        <v>137</v>
      </c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2" t="s">
        <v>97</v>
      </c>
      <c r="M159" s="32"/>
      <c r="N159" s="32"/>
      <c r="O159" s="32" t="s">
        <v>219</v>
      </c>
      <c r="P159" s="32"/>
      <c r="Q159" s="32"/>
      <c r="R159" s="33" t="s">
        <v>138</v>
      </c>
      <c r="S159" s="33"/>
      <c r="T159" s="34">
        <f>280000</f>
        <v>280000</v>
      </c>
      <c r="U159" s="34"/>
      <c r="V159" s="34"/>
      <c r="W159" s="34">
        <f>280000</f>
        <v>280000</v>
      </c>
      <c r="X159" s="34"/>
      <c r="Y159" s="34"/>
      <c r="Z159" s="34"/>
      <c r="AA159" s="34"/>
      <c r="AB159" s="35">
        <f>0</f>
        <v>0</v>
      </c>
      <c r="AC159" s="35"/>
    </row>
    <row r="160" spans="1:29" s="1" customFormat="1" ht="13.5" customHeight="1">
      <c r="A160" s="31" t="s">
        <v>110</v>
      </c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2" t="s">
        <v>97</v>
      </c>
      <c r="M160" s="32"/>
      <c r="N160" s="32"/>
      <c r="O160" s="32" t="s">
        <v>220</v>
      </c>
      <c r="P160" s="32"/>
      <c r="Q160" s="32"/>
      <c r="R160" s="33" t="s">
        <v>111</v>
      </c>
      <c r="S160" s="33"/>
      <c r="T160" s="34">
        <f>725594.83</f>
        <v>725594.83</v>
      </c>
      <c r="U160" s="34"/>
      <c r="V160" s="34"/>
      <c r="W160" s="34">
        <f>541612.08</f>
        <v>541612.08</v>
      </c>
      <c r="X160" s="34"/>
      <c r="Y160" s="34"/>
      <c r="Z160" s="34"/>
      <c r="AA160" s="34"/>
      <c r="AB160" s="35">
        <f>183982.75</f>
        <v>183982.75</v>
      </c>
      <c r="AC160" s="35"/>
    </row>
    <row r="161" spans="1:29" s="1" customFormat="1" ht="13.5" customHeight="1">
      <c r="A161" s="31" t="s">
        <v>98</v>
      </c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2" t="s">
        <v>97</v>
      </c>
      <c r="M161" s="32"/>
      <c r="N161" s="32"/>
      <c r="O161" s="32" t="s">
        <v>221</v>
      </c>
      <c r="P161" s="32"/>
      <c r="Q161" s="32"/>
      <c r="R161" s="33" t="s">
        <v>100</v>
      </c>
      <c r="S161" s="33"/>
      <c r="T161" s="34">
        <f>4338968.92</f>
        <v>4338968.92</v>
      </c>
      <c r="U161" s="34"/>
      <c r="V161" s="34"/>
      <c r="W161" s="34">
        <f>3188390.87</f>
        <v>3188390.87</v>
      </c>
      <c r="X161" s="34"/>
      <c r="Y161" s="34"/>
      <c r="Z161" s="34"/>
      <c r="AA161" s="34"/>
      <c r="AB161" s="35">
        <f>1150578.05</f>
        <v>1150578.05</v>
      </c>
      <c r="AC161" s="35"/>
    </row>
    <row r="162" spans="1:29" s="1" customFormat="1" ht="13.5" customHeight="1">
      <c r="A162" s="31" t="s">
        <v>105</v>
      </c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2" t="s">
        <v>97</v>
      </c>
      <c r="M162" s="32"/>
      <c r="N162" s="32"/>
      <c r="O162" s="32" t="s">
        <v>221</v>
      </c>
      <c r="P162" s="32"/>
      <c r="Q162" s="32"/>
      <c r="R162" s="33" t="s">
        <v>106</v>
      </c>
      <c r="S162" s="33"/>
      <c r="T162" s="34">
        <f>15000</f>
        <v>15000</v>
      </c>
      <c r="U162" s="34"/>
      <c r="V162" s="34"/>
      <c r="W162" s="34">
        <f>8134.23</f>
        <v>8134.23</v>
      </c>
      <c r="X162" s="34"/>
      <c r="Y162" s="34"/>
      <c r="Z162" s="34"/>
      <c r="AA162" s="34"/>
      <c r="AB162" s="35">
        <f>6865.77</f>
        <v>6865.77</v>
      </c>
      <c r="AC162" s="35"/>
    </row>
    <row r="163" spans="1:29" s="1" customFormat="1" ht="13.5" customHeight="1">
      <c r="A163" s="31" t="s">
        <v>222</v>
      </c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2" t="s">
        <v>97</v>
      </c>
      <c r="M163" s="32"/>
      <c r="N163" s="32"/>
      <c r="O163" s="32" t="s">
        <v>223</v>
      </c>
      <c r="P163" s="32"/>
      <c r="Q163" s="32"/>
      <c r="R163" s="33" t="s">
        <v>224</v>
      </c>
      <c r="S163" s="33"/>
      <c r="T163" s="34">
        <f>4500</f>
        <v>4500</v>
      </c>
      <c r="U163" s="34"/>
      <c r="V163" s="34"/>
      <c r="W163" s="34">
        <f>4500</f>
        <v>4500</v>
      </c>
      <c r="X163" s="34"/>
      <c r="Y163" s="34"/>
      <c r="Z163" s="34"/>
      <c r="AA163" s="34"/>
      <c r="AB163" s="35">
        <f>0</f>
        <v>0</v>
      </c>
      <c r="AC163" s="35"/>
    </row>
    <row r="164" spans="1:29" s="1" customFormat="1" ht="13.5" customHeight="1">
      <c r="A164" s="31" t="s">
        <v>107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2" t="s">
        <v>97</v>
      </c>
      <c r="M164" s="32"/>
      <c r="N164" s="32"/>
      <c r="O164" s="32" t="s">
        <v>223</v>
      </c>
      <c r="P164" s="32"/>
      <c r="Q164" s="32"/>
      <c r="R164" s="33" t="s">
        <v>109</v>
      </c>
      <c r="S164" s="33"/>
      <c r="T164" s="34">
        <f>75256</f>
        <v>75256</v>
      </c>
      <c r="U164" s="34"/>
      <c r="V164" s="34"/>
      <c r="W164" s="34">
        <f>75077.8</f>
        <v>75077.8</v>
      </c>
      <c r="X164" s="34"/>
      <c r="Y164" s="34"/>
      <c r="Z164" s="34"/>
      <c r="AA164" s="34"/>
      <c r="AB164" s="35">
        <f>178.2</f>
        <v>178.2</v>
      </c>
      <c r="AC164" s="35"/>
    </row>
    <row r="165" spans="1:29" s="1" customFormat="1" ht="13.5" customHeight="1">
      <c r="A165" s="31" t="s">
        <v>101</v>
      </c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2" t="s">
        <v>97</v>
      </c>
      <c r="M165" s="32"/>
      <c r="N165" s="32"/>
      <c r="O165" s="32" t="s">
        <v>225</v>
      </c>
      <c r="P165" s="32"/>
      <c r="Q165" s="32"/>
      <c r="R165" s="33" t="s">
        <v>103</v>
      </c>
      <c r="S165" s="33"/>
      <c r="T165" s="34">
        <f>1293068.61</f>
        <v>1293068.61</v>
      </c>
      <c r="U165" s="34"/>
      <c r="V165" s="34"/>
      <c r="W165" s="34">
        <f>869063.36</f>
        <v>869063.36</v>
      </c>
      <c r="X165" s="34"/>
      <c r="Y165" s="34"/>
      <c r="Z165" s="34"/>
      <c r="AA165" s="34"/>
      <c r="AB165" s="35">
        <f>424005.25</f>
        <v>424005.25</v>
      </c>
      <c r="AC165" s="35"/>
    </row>
    <row r="166" spans="1:29" s="1" customFormat="1" ht="13.5" customHeight="1">
      <c r="A166" s="31" t="s">
        <v>130</v>
      </c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2" t="s">
        <v>97</v>
      </c>
      <c r="M166" s="32"/>
      <c r="N166" s="32"/>
      <c r="O166" s="32" t="s">
        <v>226</v>
      </c>
      <c r="P166" s="32"/>
      <c r="Q166" s="32"/>
      <c r="R166" s="33" t="s">
        <v>132</v>
      </c>
      <c r="S166" s="33"/>
      <c r="T166" s="34">
        <f>65000</f>
        <v>65000</v>
      </c>
      <c r="U166" s="34"/>
      <c r="V166" s="34"/>
      <c r="W166" s="34">
        <f>50403.35</f>
        <v>50403.35</v>
      </c>
      <c r="X166" s="34"/>
      <c r="Y166" s="34"/>
      <c r="Z166" s="34"/>
      <c r="AA166" s="34"/>
      <c r="AB166" s="35">
        <f>14596.65</f>
        <v>14596.65</v>
      </c>
      <c r="AC166" s="35"/>
    </row>
    <row r="167" spans="1:29" s="1" customFormat="1" ht="13.5" customHeight="1">
      <c r="A167" s="31" t="s">
        <v>201</v>
      </c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2" t="s">
        <v>97</v>
      </c>
      <c r="M167" s="32"/>
      <c r="N167" s="32"/>
      <c r="O167" s="32" t="s">
        <v>226</v>
      </c>
      <c r="P167" s="32"/>
      <c r="Q167" s="32"/>
      <c r="R167" s="33" t="s">
        <v>203</v>
      </c>
      <c r="S167" s="33"/>
      <c r="T167" s="34">
        <f>74797</f>
        <v>74797</v>
      </c>
      <c r="U167" s="34"/>
      <c r="V167" s="34"/>
      <c r="W167" s="34">
        <f>74797</f>
        <v>74797</v>
      </c>
      <c r="X167" s="34"/>
      <c r="Y167" s="34"/>
      <c r="Z167" s="34"/>
      <c r="AA167" s="34"/>
      <c r="AB167" s="35">
        <f>0</f>
        <v>0</v>
      </c>
      <c r="AC167" s="35"/>
    </row>
    <row r="168" spans="1:29" s="1" customFormat="1" ht="13.5" customHeight="1">
      <c r="A168" s="31" t="s">
        <v>133</v>
      </c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2" t="s">
        <v>97</v>
      </c>
      <c r="M168" s="32"/>
      <c r="N168" s="32"/>
      <c r="O168" s="32" t="s">
        <v>226</v>
      </c>
      <c r="P168" s="32"/>
      <c r="Q168" s="32"/>
      <c r="R168" s="33" t="s">
        <v>134</v>
      </c>
      <c r="S168" s="33"/>
      <c r="T168" s="34">
        <f>95337.15</f>
        <v>95337.15</v>
      </c>
      <c r="U168" s="34"/>
      <c r="V168" s="34"/>
      <c r="W168" s="34">
        <f>18177.51</f>
        <v>18177.51</v>
      </c>
      <c r="X168" s="34"/>
      <c r="Y168" s="34"/>
      <c r="Z168" s="34"/>
      <c r="AA168" s="34"/>
      <c r="AB168" s="35">
        <f>77159.64</f>
        <v>77159.64</v>
      </c>
      <c r="AC168" s="35"/>
    </row>
    <row r="169" spans="1:29" s="1" customFormat="1" ht="13.5" customHeight="1">
      <c r="A169" s="31" t="s">
        <v>110</v>
      </c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2" t="s">
        <v>97</v>
      </c>
      <c r="M169" s="32"/>
      <c r="N169" s="32"/>
      <c r="O169" s="32" t="s">
        <v>226</v>
      </c>
      <c r="P169" s="32"/>
      <c r="Q169" s="32"/>
      <c r="R169" s="33" t="s">
        <v>111</v>
      </c>
      <c r="S169" s="33"/>
      <c r="T169" s="34">
        <f>84880</f>
        <v>84880</v>
      </c>
      <c r="U169" s="34"/>
      <c r="V169" s="34"/>
      <c r="W169" s="34">
        <f>76830</f>
        <v>76830</v>
      </c>
      <c r="X169" s="34"/>
      <c r="Y169" s="34"/>
      <c r="Z169" s="34"/>
      <c r="AA169" s="34"/>
      <c r="AB169" s="35">
        <f>8050</f>
        <v>8050</v>
      </c>
      <c r="AC169" s="35"/>
    </row>
    <row r="170" spans="1:29" s="1" customFormat="1" ht="13.5" customHeight="1">
      <c r="A170" s="31" t="s">
        <v>137</v>
      </c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2" t="s">
        <v>97</v>
      </c>
      <c r="M170" s="32"/>
      <c r="N170" s="32"/>
      <c r="O170" s="32" t="s">
        <v>226</v>
      </c>
      <c r="P170" s="32"/>
      <c r="Q170" s="32"/>
      <c r="R170" s="33" t="s">
        <v>138</v>
      </c>
      <c r="S170" s="33"/>
      <c r="T170" s="34">
        <f>235711.01</f>
        <v>235711.01</v>
      </c>
      <c r="U170" s="34"/>
      <c r="V170" s="34"/>
      <c r="W170" s="34">
        <f>233425.01</f>
        <v>233425.01</v>
      </c>
      <c r="X170" s="34"/>
      <c r="Y170" s="34"/>
      <c r="Z170" s="34"/>
      <c r="AA170" s="34"/>
      <c r="AB170" s="35">
        <f>2286</f>
        <v>2286</v>
      </c>
      <c r="AC170" s="35"/>
    </row>
    <row r="171" spans="1:29" s="1" customFormat="1" ht="24" customHeight="1">
      <c r="A171" s="31" t="s">
        <v>139</v>
      </c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2" t="s">
        <v>97</v>
      </c>
      <c r="M171" s="32"/>
      <c r="N171" s="32"/>
      <c r="O171" s="32" t="s">
        <v>226</v>
      </c>
      <c r="P171" s="32"/>
      <c r="Q171" s="32"/>
      <c r="R171" s="33" t="s">
        <v>140</v>
      </c>
      <c r="S171" s="33"/>
      <c r="T171" s="34">
        <f>2300</f>
        <v>2300</v>
      </c>
      <c r="U171" s="34"/>
      <c r="V171" s="34"/>
      <c r="W171" s="34">
        <f>2300</f>
        <v>2300</v>
      </c>
      <c r="X171" s="34"/>
      <c r="Y171" s="34"/>
      <c r="Z171" s="34"/>
      <c r="AA171" s="34"/>
      <c r="AB171" s="35">
        <f>0</f>
        <v>0</v>
      </c>
      <c r="AC171" s="35"/>
    </row>
    <row r="172" spans="1:29" s="1" customFormat="1" ht="13.5" customHeight="1">
      <c r="A172" s="31" t="s">
        <v>145</v>
      </c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2" t="s">
        <v>97</v>
      </c>
      <c r="M172" s="32"/>
      <c r="N172" s="32"/>
      <c r="O172" s="32" t="s">
        <v>226</v>
      </c>
      <c r="P172" s="32"/>
      <c r="Q172" s="32"/>
      <c r="R172" s="33" t="s">
        <v>146</v>
      </c>
      <c r="S172" s="33"/>
      <c r="T172" s="34">
        <f>213171.24</f>
        <v>213171.24</v>
      </c>
      <c r="U172" s="34"/>
      <c r="V172" s="34"/>
      <c r="W172" s="34">
        <f>209198.88</f>
        <v>209198.88</v>
      </c>
      <c r="X172" s="34"/>
      <c r="Y172" s="34"/>
      <c r="Z172" s="34"/>
      <c r="AA172" s="34"/>
      <c r="AB172" s="35">
        <f>3972.36</f>
        <v>3972.36</v>
      </c>
      <c r="AC172" s="35"/>
    </row>
    <row r="173" spans="1:29" s="1" customFormat="1" ht="13.5" customHeight="1">
      <c r="A173" s="31" t="s">
        <v>133</v>
      </c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2" t="s">
        <v>97</v>
      </c>
      <c r="M173" s="32"/>
      <c r="N173" s="32"/>
      <c r="O173" s="32" t="s">
        <v>227</v>
      </c>
      <c r="P173" s="32"/>
      <c r="Q173" s="32"/>
      <c r="R173" s="33" t="s">
        <v>134</v>
      </c>
      <c r="S173" s="33"/>
      <c r="T173" s="34">
        <f>774662.85</f>
        <v>774662.85</v>
      </c>
      <c r="U173" s="34"/>
      <c r="V173" s="34"/>
      <c r="W173" s="34">
        <f>489808.08</f>
        <v>489808.08</v>
      </c>
      <c r="X173" s="34"/>
      <c r="Y173" s="34"/>
      <c r="Z173" s="34"/>
      <c r="AA173" s="34"/>
      <c r="AB173" s="35">
        <f>284854.77</f>
        <v>284854.77</v>
      </c>
      <c r="AC173" s="35"/>
    </row>
    <row r="174" spans="1:29" s="1" customFormat="1" ht="13.5" customHeight="1">
      <c r="A174" s="31" t="s">
        <v>98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2" t="s">
        <v>97</v>
      </c>
      <c r="M174" s="32"/>
      <c r="N174" s="32"/>
      <c r="O174" s="32" t="s">
        <v>228</v>
      </c>
      <c r="P174" s="32"/>
      <c r="Q174" s="32"/>
      <c r="R174" s="33" t="s">
        <v>100</v>
      </c>
      <c r="S174" s="33"/>
      <c r="T174" s="34">
        <f>2464604.59</f>
        <v>2464604.59</v>
      </c>
      <c r="U174" s="34"/>
      <c r="V174" s="34"/>
      <c r="W174" s="34">
        <f>2026499.99</f>
        <v>2026499.99</v>
      </c>
      <c r="X174" s="34"/>
      <c r="Y174" s="34"/>
      <c r="Z174" s="34"/>
      <c r="AA174" s="34"/>
      <c r="AB174" s="35">
        <f>438104.6</f>
        <v>438104.6</v>
      </c>
      <c r="AC174" s="35"/>
    </row>
    <row r="175" spans="1:29" s="1" customFormat="1" ht="13.5" customHeight="1">
      <c r="A175" s="31" t="s">
        <v>101</v>
      </c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2" t="s">
        <v>97</v>
      </c>
      <c r="M175" s="32"/>
      <c r="N175" s="32"/>
      <c r="O175" s="32" t="s">
        <v>229</v>
      </c>
      <c r="P175" s="32"/>
      <c r="Q175" s="32"/>
      <c r="R175" s="33" t="s">
        <v>103</v>
      </c>
      <c r="S175" s="33"/>
      <c r="T175" s="34">
        <f>744310.59</f>
        <v>744310.59</v>
      </c>
      <c r="U175" s="34"/>
      <c r="V175" s="34"/>
      <c r="W175" s="34">
        <f>624279.38</f>
        <v>624279.38</v>
      </c>
      <c r="X175" s="34"/>
      <c r="Y175" s="34"/>
      <c r="Z175" s="34"/>
      <c r="AA175" s="34"/>
      <c r="AB175" s="35">
        <f>120031.21</f>
        <v>120031.21</v>
      </c>
      <c r="AC175" s="35"/>
    </row>
    <row r="176" spans="1:29" s="1" customFormat="1" ht="13.5" customHeight="1">
      <c r="A176" s="31" t="s">
        <v>110</v>
      </c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2" t="s">
        <v>97</v>
      </c>
      <c r="M176" s="32"/>
      <c r="N176" s="32"/>
      <c r="O176" s="32" t="s">
        <v>230</v>
      </c>
      <c r="P176" s="32"/>
      <c r="Q176" s="32"/>
      <c r="R176" s="33" t="s">
        <v>111</v>
      </c>
      <c r="S176" s="33"/>
      <c r="T176" s="34">
        <f>990</f>
        <v>990</v>
      </c>
      <c r="U176" s="34"/>
      <c r="V176" s="34"/>
      <c r="W176" s="34">
        <f>990</f>
        <v>990</v>
      </c>
      <c r="X176" s="34"/>
      <c r="Y176" s="34"/>
      <c r="Z176" s="34"/>
      <c r="AA176" s="34"/>
      <c r="AB176" s="35">
        <f>0</f>
        <v>0</v>
      </c>
      <c r="AC176" s="35"/>
    </row>
    <row r="177" spans="1:29" s="1" customFormat="1" ht="13.5" customHeight="1">
      <c r="A177" s="31" t="s">
        <v>145</v>
      </c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2" t="s">
        <v>97</v>
      </c>
      <c r="M177" s="32"/>
      <c r="N177" s="32"/>
      <c r="O177" s="32" t="s">
        <v>230</v>
      </c>
      <c r="P177" s="32"/>
      <c r="Q177" s="32"/>
      <c r="R177" s="33" t="s">
        <v>146</v>
      </c>
      <c r="S177" s="33"/>
      <c r="T177" s="34">
        <f>20196.07</f>
        <v>20196.07</v>
      </c>
      <c r="U177" s="34"/>
      <c r="V177" s="34"/>
      <c r="W177" s="34">
        <f>20196.07</f>
        <v>20196.07</v>
      </c>
      <c r="X177" s="34"/>
      <c r="Y177" s="34"/>
      <c r="Z177" s="34"/>
      <c r="AA177" s="34"/>
      <c r="AB177" s="35">
        <f>0</f>
        <v>0</v>
      </c>
      <c r="AC177" s="35"/>
    </row>
    <row r="178" spans="1:29" s="1" customFormat="1" ht="24" customHeight="1">
      <c r="A178" s="31" t="s">
        <v>206</v>
      </c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2" t="s">
        <v>97</v>
      </c>
      <c r="M178" s="32"/>
      <c r="N178" s="32"/>
      <c r="O178" s="32" t="s">
        <v>230</v>
      </c>
      <c r="P178" s="32"/>
      <c r="Q178" s="32"/>
      <c r="R178" s="33" t="s">
        <v>207</v>
      </c>
      <c r="S178" s="33"/>
      <c r="T178" s="34">
        <f>20870</f>
        <v>20870</v>
      </c>
      <c r="U178" s="34"/>
      <c r="V178" s="34"/>
      <c r="W178" s="34">
        <f>20870</f>
        <v>20870</v>
      </c>
      <c r="X178" s="34"/>
      <c r="Y178" s="34"/>
      <c r="Z178" s="34"/>
      <c r="AA178" s="34"/>
      <c r="AB178" s="35">
        <f>0</f>
        <v>0</v>
      </c>
      <c r="AC178" s="35"/>
    </row>
    <row r="179" spans="1:29" s="1" customFormat="1" ht="24" customHeight="1">
      <c r="A179" s="31" t="s">
        <v>124</v>
      </c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2" t="s">
        <v>97</v>
      </c>
      <c r="M179" s="32"/>
      <c r="N179" s="32"/>
      <c r="O179" s="32" t="s">
        <v>230</v>
      </c>
      <c r="P179" s="32"/>
      <c r="Q179" s="32"/>
      <c r="R179" s="33" t="s">
        <v>126</v>
      </c>
      <c r="S179" s="33"/>
      <c r="T179" s="34">
        <f>99803.93</f>
        <v>99803.93</v>
      </c>
      <c r="U179" s="34"/>
      <c r="V179" s="34"/>
      <c r="W179" s="34">
        <f>69499.93</f>
        <v>69499.93</v>
      </c>
      <c r="X179" s="34"/>
      <c r="Y179" s="34"/>
      <c r="Z179" s="34"/>
      <c r="AA179" s="34"/>
      <c r="AB179" s="35">
        <f>30304</f>
        <v>30304</v>
      </c>
      <c r="AC179" s="35"/>
    </row>
    <row r="180" spans="1:29" s="1" customFormat="1" ht="13.5" customHeight="1">
      <c r="A180" s="31" t="s">
        <v>110</v>
      </c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2" t="s">
        <v>97</v>
      </c>
      <c r="M180" s="32"/>
      <c r="N180" s="32"/>
      <c r="O180" s="32" t="s">
        <v>231</v>
      </c>
      <c r="P180" s="32"/>
      <c r="Q180" s="32"/>
      <c r="R180" s="33" t="s">
        <v>111</v>
      </c>
      <c r="S180" s="33"/>
      <c r="T180" s="34">
        <f>50000</f>
        <v>50000</v>
      </c>
      <c r="U180" s="34"/>
      <c r="V180" s="34"/>
      <c r="W180" s="34">
        <f>50000</f>
        <v>50000</v>
      </c>
      <c r="X180" s="34"/>
      <c r="Y180" s="34"/>
      <c r="Z180" s="34"/>
      <c r="AA180" s="34"/>
      <c r="AB180" s="35">
        <f>0</f>
        <v>0</v>
      </c>
      <c r="AC180" s="35"/>
    </row>
    <row r="181" spans="1:29" s="1" customFormat="1" ht="13.5" customHeight="1">
      <c r="A181" s="31" t="s">
        <v>145</v>
      </c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2" t="s">
        <v>97</v>
      </c>
      <c r="M181" s="32"/>
      <c r="N181" s="32"/>
      <c r="O181" s="32" t="s">
        <v>231</v>
      </c>
      <c r="P181" s="32"/>
      <c r="Q181" s="32"/>
      <c r="R181" s="33" t="s">
        <v>146</v>
      </c>
      <c r="S181" s="33"/>
      <c r="T181" s="34">
        <f>610</f>
        <v>610</v>
      </c>
      <c r="U181" s="34"/>
      <c r="V181" s="34"/>
      <c r="W181" s="34">
        <f>610</f>
        <v>610</v>
      </c>
      <c r="X181" s="34"/>
      <c r="Y181" s="34"/>
      <c r="Z181" s="34"/>
      <c r="AA181" s="34"/>
      <c r="AB181" s="35">
        <f>0</f>
        <v>0</v>
      </c>
      <c r="AC181" s="35"/>
    </row>
    <row r="182" spans="1:29" s="1" customFormat="1" ht="24" customHeight="1">
      <c r="A182" s="31" t="s">
        <v>206</v>
      </c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2" t="s">
        <v>97</v>
      </c>
      <c r="M182" s="32"/>
      <c r="N182" s="32"/>
      <c r="O182" s="32" t="s">
        <v>231</v>
      </c>
      <c r="P182" s="32"/>
      <c r="Q182" s="32"/>
      <c r="R182" s="33" t="s">
        <v>207</v>
      </c>
      <c r="S182" s="33"/>
      <c r="T182" s="34">
        <f>9773</f>
        <v>9773</v>
      </c>
      <c r="U182" s="34"/>
      <c r="V182" s="34"/>
      <c r="W182" s="34">
        <f>9773</f>
        <v>9773</v>
      </c>
      <c r="X182" s="34"/>
      <c r="Y182" s="34"/>
      <c r="Z182" s="34"/>
      <c r="AA182" s="34"/>
      <c r="AB182" s="35">
        <f>0</f>
        <v>0</v>
      </c>
      <c r="AC182" s="35"/>
    </row>
    <row r="183" spans="1:29" s="1" customFormat="1" ht="24" customHeight="1">
      <c r="A183" s="31" t="s">
        <v>124</v>
      </c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2" t="s">
        <v>97</v>
      </c>
      <c r="M183" s="32"/>
      <c r="N183" s="32"/>
      <c r="O183" s="32" t="s">
        <v>231</v>
      </c>
      <c r="P183" s="32"/>
      <c r="Q183" s="32"/>
      <c r="R183" s="33" t="s">
        <v>126</v>
      </c>
      <c r="S183" s="33"/>
      <c r="T183" s="34">
        <f>39617</f>
        <v>39617</v>
      </c>
      <c r="U183" s="34"/>
      <c r="V183" s="34"/>
      <c r="W183" s="34">
        <f>39617</f>
        <v>39617</v>
      </c>
      <c r="X183" s="34"/>
      <c r="Y183" s="34"/>
      <c r="Z183" s="34"/>
      <c r="AA183" s="34"/>
      <c r="AB183" s="35">
        <f>0</f>
        <v>0</v>
      </c>
      <c r="AC183" s="35"/>
    </row>
    <row r="184" spans="1:29" s="1" customFormat="1" ht="24" customHeight="1">
      <c r="A184" s="31" t="s">
        <v>232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2" t="s">
        <v>97</v>
      </c>
      <c r="M184" s="32"/>
      <c r="N184" s="32"/>
      <c r="O184" s="32" t="s">
        <v>233</v>
      </c>
      <c r="P184" s="32"/>
      <c r="Q184" s="32"/>
      <c r="R184" s="33" t="s">
        <v>234</v>
      </c>
      <c r="S184" s="33"/>
      <c r="T184" s="34">
        <f>620628</f>
        <v>620628</v>
      </c>
      <c r="U184" s="34"/>
      <c r="V184" s="34"/>
      <c r="W184" s="34">
        <f>517190</f>
        <v>517190</v>
      </c>
      <c r="X184" s="34"/>
      <c r="Y184" s="34"/>
      <c r="Z184" s="34"/>
      <c r="AA184" s="34"/>
      <c r="AB184" s="35">
        <f>103438</f>
        <v>103438</v>
      </c>
      <c r="AC184" s="35"/>
    </row>
    <row r="185" spans="1:29" s="1" customFormat="1" ht="24" customHeight="1">
      <c r="A185" s="31" t="s">
        <v>124</v>
      </c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2" t="s">
        <v>97</v>
      </c>
      <c r="M185" s="32"/>
      <c r="N185" s="32"/>
      <c r="O185" s="32" t="s">
        <v>235</v>
      </c>
      <c r="P185" s="32"/>
      <c r="Q185" s="32"/>
      <c r="R185" s="33" t="s">
        <v>126</v>
      </c>
      <c r="S185" s="33"/>
      <c r="T185" s="34">
        <f>30000</f>
        <v>30000</v>
      </c>
      <c r="U185" s="34"/>
      <c r="V185" s="34"/>
      <c r="W185" s="34">
        <f>8000</f>
        <v>8000</v>
      </c>
      <c r="X185" s="34"/>
      <c r="Y185" s="34"/>
      <c r="Z185" s="34"/>
      <c r="AA185" s="34"/>
      <c r="AB185" s="35">
        <f>22000</f>
        <v>22000</v>
      </c>
      <c r="AC185" s="35"/>
    </row>
    <row r="186" spans="1:29" s="1" customFormat="1" ht="15" customHeight="1">
      <c r="A186" s="37" t="s">
        <v>236</v>
      </c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8" t="s">
        <v>237</v>
      </c>
      <c r="M186" s="38"/>
      <c r="N186" s="38"/>
      <c r="O186" s="38" t="s">
        <v>36</v>
      </c>
      <c r="P186" s="38"/>
      <c r="Q186" s="38"/>
      <c r="R186" s="39" t="s">
        <v>36</v>
      </c>
      <c r="S186" s="39"/>
      <c r="T186" s="40">
        <f>-2718102.36</f>
        <v>-2718102.36</v>
      </c>
      <c r="U186" s="40"/>
      <c r="V186" s="40"/>
      <c r="W186" s="40">
        <f>1600376.25</f>
        <v>1600376.25</v>
      </c>
      <c r="X186" s="40"/>
      <c r="Y186" s="40"/>
      <c r="Z186" s="40"/>
      <c r="AA186" s="40"/>
      <c r="AB186" s="41" t="s">
        <v>36</v>
      </c>
      <c r="AC186" s="41"/>
    </row>
    <row r="187" spans="1:29" s="1" customFormat="1" ht="13.5" customHeight="1">
      <c r="A187" s="7" t="s">
        <v>10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</row>
    <row r="188" spans="1:29" s="1" customFormat="1" ht="13.5" customHeight="1">
      <c r="A188" s="12" t="s">
        <v>238</v>
      </c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</row>
    <row r="189" spans="1:29" s="1" customFormat="1" ht="45.75" customHeight="1">
      <c r="A189" s="13" t="s">
        <v>22</v>
      </c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 t="s">
        <v>23</v>
      </c>
      <c r="N189" s="13"/>
      <c r="O189" s="13"/>
      <c r="P189" s="13" t="s">
        <v>239</v>
      </c>
      <c r="Q189" s="13"/>
      <c r="R189" s="13"/>
      <c r="S189" s="14" t="s">
        <v>25</v>
      </c>
      <c r="T189" s="14"/>
      <c r="U189" s="14"/>
      <c r="V189" s="14" t="s">
        <v>26</v>
      </c>
      <c r="W189" s="14"/>
      <c r="X189" s="14"/>
      <c r="Y189" s="14"/>
      <c r="Z189" s="14"/>
      <c r="AA189" s="15" t="s">
        <v>27</v>
      </c>
      <c r="AB189" s="15"/>
      <c r="AC189" s="15"/>
    </row>
    <row r="190" spans="1:29" s="1" customFormat="1" ht="12.75" customHeight="1">
      <c r="A190" s="16" t="s">
        <v>28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 t="s">
        <v>29</v>
      </c>
      <c r="N190" s="16"/>
      <c r="O190" s="16"/>
      <c r="P190" s="16" t="s">
        <v>30</v>
      </c>
      <c r="Q190" s="16"/>
      <c r="R190" s="16"/>
      <c r="S190" s="17" t="s">
        <v>31</v>
      </c>
      <c r="T190" s="17"/>
      <c r="U190" s="17"/>
      <c r="V190" s="17" t="s">
        <v>32</v>
      </c>
      <c r="W190" s="17"/>
      <c r="X190" s="17"/>
      <c r="Y190" s="17"/>
      <c r="Z190" s="17"/>
      <c r="AA190" s="18" t="s">
        <v>33</v>
      </c>
      <c r="AB190" s="18"/>
      <c r="AC190" s="18"/>
    </row>
    <row r="191" spans="1:29" s="1" customFormat="1" ht="13.5" customHeight="1">
      <c r="A191" s="19" t="s">
        <v>240</v>
      </c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20" t="s">
        <v>241</v>
      </c>
      <c r="N191" s="20"/>
      <c r="O191" s="20"/>
      <c r="P191" s="20" t="s">
        <v>36</v>
      </c>
      <c r="Q191" s="20"/>
      <c r="R191" s="20"/>
      <c r="S191" s="42">
        <f>2718102.36</f>
        <v>2718102.36</v>
      </c>
      <c r="T191" s="42"/>
      <c r="U191" s="42"/>
      <c r="V191" s="21">
        <f>-1600376.25</f>
        <v>-1600376.25</v>
      </c>
      <c r="W191" s="21"/>
      <c r="X191" s="21"/>
      <c r="Y191" s="21"/>
      <c r="Z191" s="21"/>
      <c r="AA191" s="43" t="s">
        <v>36</v>
      </c>
      <c r="AB191" s="43"/>
      <c r="AC191" s="43"/>
    </row>
    <row r="192" spans="1:29" s="1" customFormat="1" ht="13.5" customHeight="1">
      <c r="A192" s="44" t="s">
        <v>242</v>
      </c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5" t="s">
        <v>10</v>
      </c>
      <c r="N192" s="45"/>
      <c r="O192" s="45"/>
      <c r="P192" s="45" t="s">
        <v>10</v>
      </c>
      <c r="Q192" s="45"/>
      <c r="R192" s="45"/>
      <c r="S192" s="46" t="s">
        <v>10</v>
      </c>
      <c r="T192" s="46"/>
      <c r="U192" s="46"/>
      <c r="V192" s="47" t="s">
        <v>10</v>
      </c>
      <c r="W192" s="47"/>
      <c r="X192" s="47"/>
      <c r="Y192" s="47"/>
      <c r="Z192" s="47"/>
      <c r="AA192" s="48" t="s">
        <v>10</v>
      </c>
      <c r="AB192" s="48"/>
      <c r="AC192" s="48"/>
    </row>
    <row r="193" spans="1:29" s="1" customFormat="1" ht="13.5" customHeight="1">
      <c r="A193" s="23" t="s">
        <v>243</v>
      </c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49" t="s">
        <v>244</v>
      </c>
      <c r="N193" s="49"/>
      <c r="O193" s="49"/>
      <c r="P193" s="24" t="s">
        <v>36</v>
      </c>
      <c r="Q193" s="24"/>
      <c r="R193" s="24"/>
      <c r="S193" s="50" t="s">
        <v>45</v>
      </c>
      <c r="T193" s="50"/>
      <c r="U193" s="50"/>
      <c r="V193" s="28" t="s">
        <v>45</v>
      </c>
      <c r="W193" s="28"/>
      <c r="X193" s="28"/>
      <c r="Y193" s="28"/>
      <c r="Z193" s="28"/>
      <c r="AA193" s="51" t="s">
        <v>45</v>
      </c>
      <c r="AB193" s="51"/>
      <c r="AC193" s="51"/>
    </row>
    <row r="194" spans="1:29" s="1" customFormat="1" ht="13.5" customHeight="1">
      <c r="A194" s="33" t="s">
        <v>10</v>
      </c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</row>
    <row r="195" spans="1:29" s="1" customFormat="1" ht="13.5" customHeight="1">
      <c r="A195" s="31" t="s">
        <v>245</v>
      </c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45" t="s">
        <v>246</v>
      </c>
      <c r="N195" s="45"/>
      <c r="O195" s="45"/>
      <c r="P195" s="45" t="s">
        <v>36</v>
      </c>
      <c r="Q195" s="45"/>
      <c r="R195" s="45"/>
      <c r="S195" s="46" t="s">
        <v>45</v>
      </c>
      <c r="T195" s="46"/>
      <c r="U195" s="46"/>
      <c r="V195" s="36" t="s">
        <v>45</v>
      </c>
      <c r="W195" s="36"/>
      <c r="X195" s="36"/>
      <c r="Y195" s="36"/>
      <c r="Z195" s="36"/>
      <c r="AA195" s="48" t="s">
        <v>45</v>
      </c>
      <c r="AB195" s="48"/>
      <c r="AC195" s="48"/>
    </row>
    <row r="196" spans="1:29" s="1" customFormat="1" ht="13.5" customHeight="1">
      <c r="A196" s="31" t="s">
        <v>10</v>
      </c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2" t="s">
        <v>246</v>
      </c>
      <c r="N196" s="32"/>
      <c r="O196" s="32"/>
      <c r="P196" s="32" t="s">
        <v>10</v>
      </c>
      <c r="Q196" s="32"/>
      <c r="R196" s="32"/>
      <c r="S196" s="52" t="s">
        <v>45</v>
      </c>
      <c r="T196" s="52"/>
      <c r="U196" s="52"/>
      <c r="V196" s="36" t="s">
        <v>45</v>
      </c>
      <c r="W196" s="36"/>
      <c r="X196" s="36"/>
      <c r="Y196" s="36"/>
      <c r="Z196" s="36"/>
      <c r="AA196" s="53" t="s">
        <v>45</v>
      </c>
      <c r="AB196" s="53"/>
      <c r="AC196" s="53"/>
    </row>
    <row r="197" spans="1:29" s="1" customFormat="1" ht="13.5" customHeight="1">
      <c r="A197" s="31" t="s">
        <v>247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2" t="s">
        <v>248</v>
      </c>
      <c r="N197" s="32"/>
      <c r="O197" s="32"/>
      <c r="P197" s="32" t="s">
        <v>249</v>
      </c>
      <c r="Q197" s="32"/>
      <c r="R197" s="32"/>
      <c r="S197" s="54">
        <f>2718102.36</f>
        <v>2718102.36</v>
      </c>
      <c r="T197" s="54"/>
      <c r="U197" s="54"/>
      <c r="V197" s="34">
        <f>-1600376.25</f>
        <v>-1600376.25</v>
      </c>
      <c r="W197" s="34"/>
      <c r="X197" s="34"/>
      <c r="Y197" s="34"/>
      <c r="Z197" s="34"/>
      <c r="AA197" s="55">
        <f>4318478.61</f>
        <v>4318478.61</v>
      </c>
      <c r="AB197" s="55"/>
      <c r="AC197" s="55"/>
    </row>
    <row r="198" spans="1:29" s="1" customFormat="1" ht="13.5" customHeight="1">
      <c r="A198" s="31" t="s">
        <v>250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2" t="s">
        <v>251</v>
      </c>
      <c r="N198" s="32"/>
      <c r="O198" s="32"/>
      <c r="P198" s="32" t="s">
        <v>252</v>
      </c>
      <c r="Q198" s="32"/>
      <c r="R198" s="32"/>
      <c r="S198" s="54">
        <f>-52083408.2</f>
        <v>-52083408.2</v>
      </c>
      <c r="T198" s="54"/>
      <c r="U198" s="54"/>
      <c r="V198" s="34">
        <f>-44225945.89</f>
        <v>-44225945.89</v>
      </c>
      <c r="W198" s="34"/>
      <c r="X198" s="34"/>
      <c r="Y198" s="34"/>
      <c r="Z198" s="34"/>
      <c r="AA198" s="56" t="s">
        <v>36</v>
      </c>
      <c r="AB198" s="56"/>
      <c r="AC198" s="56"/>
    </row>
    <row r="199" spans="1:29" s="1" customFormat="1" ht="13.5" customHeight="1">
      <c r="A199" s="31" t="s">
        <v>253</v>
      </c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2" t="s">
        <v>254</v>
      </c>
      <c r="N199" s="32"/>
      <c r="O199" s="32"/>
      <c r="P199" s="32" t="s">
        <v>255</v>
      </c>
      <c r="Q199" s="32"/>
      <c r="R199" s="32"/>
      <c r="S199" s="54">
        <f>54801510.56</f>
        <v>54801510.56</v>
      </c>
      <c r="T199" s="54"/>
      <c r="U199" s="54"/>
      <c r="V199" s="34">
        <f>42625569.64</f>
        <v>42625569.64</v>
      </c>
      <c r="W199" s="34"/>
      <c r="X199" s="34"/>
      <c r="Y199" s="34"/>
      <c r="Z199" s="34"/>
      <c r="AA199" s="56" t="s">
        <v>36</v>
      </c>
      <c r="AB199" s="56"/>
      <c r="AC199" s="56"/>
    </row>
    <row r="200" spans="1:29" s="1" customFormat="1" ht="13.5" customHeight="1">
      <c r="A200" s="58" t="s">
        <v>10</v>
      </c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</row>
    <row r="201" spans="1:29" s="1" customFormat="1" ht="13.5" customHeight="1">
      <c r="A201" s="7" t="s">
        <v>256</v>
      </c>
      <c r="B201" s="7"/>
      <c r="C201" s="7"/>
      <c r="D201" s="7"/>
      <c r="E201" s="7"/>
      <c r="F201" s="7"/>
      <c r="G201" s="7"/>
      <c r="H201" s="7"/>
      <c r="I201" s="57" t="s">
        <v>10</v>
      </c>
      <c r="J201" s="57"/>
      <c r="K201" s="57"/>
      <c r="L201" s="57"/>
      <c r="M201" s="57"/>
      <c r="N201" s="57"/>
      <c r="O201" s="57"/>
      <c r="P201" s="57" t="s">
        <v>257</v>
      </c>
      <c r="Q201" s="57"/>
      <c r="R201" s="57"/>
      <c r="S201" s="57"/>
      <c r="T201" s="57"/>
      <c r="U201" s="7" t="s">
        <v>10</v>
      </c>
      <c r="V201" s="7"/>
      <c r="W201" s="7"/>
      <c r="X201" s="7"/>
      <c r="Y201" s="7"/>
      <c r="Z201" s="7"/>
      <c r="AA201" s="7"/>
      <c r="AB201" s="7"/>
      <c r="AC201" s="7"/>
    </row>
    <row r="202" spans="1:29" s="1" customFormat="1" ht="13.5" customHeight="1">
      <c r="A202" s="7" t="s">
        <v>10</v>
      </c>
      <c r="B202" s="7"/>
      <c r="C202" s="7"/>
      <c r="D202" s="7"/>
      <c r="E202" s="7"/>
      <c r="F202" s="7"/>
      <c r="G202" s="7"/>
      <c r="H202" s="7"/>
      <c r="I202" s="10" t="s">
        <v>10</v>
      </c>
      <c r="J202" s="59" t="s">
        <v>258</v>
      </c>
      <c r="K202" s="59"/>
      <c r="L202" s="59"/>
      <c r="M202" s="59"/>
      <c r="N202" s="7" t="s">
        <v>10</v>
      </c>
      <c r="O202" s="7"/>
      <c r="P202" s="10" t="s">
        <v>10</v>
      </c>
      <c r="Q202" s="59" t="s">
        <v>259</v>
      </c>
      <c r="R202" s="59"/>
      <c r="S202" s="59"/>
      <c r="T202" s="7" t="s">
        <v>10</v>
      </c>
      <c r="U202" s="7"/>
      <c r="V202" s="7"/>
      <c r="W202" s="7"/>
      <c r="X202" s="7"/>
      <c r="Y202" s="7"/>
      <c r="Z202" s="7"/>
      <c r="AA202" s="7"/>
      <c r="AB202" s="7"/>
      <c r="AC202" s="7"/>
    </row>
    <row r="203" spans="1:29" s="1" customFormat="1" ht="7.5" customHeight="1">
      <c r="A203" s="7" t="s">
        <v>10</v>
      </c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</row>
    <row r="204" spans="1:29" s="1" customFormat="1" ht="13.5" customHeight="1">
      <c r="A204" s="7" t="s">
        <v>260</v>
      </c>
      <c r="B204" s="7"/>
      <c r="C204" s="7"/>
      <c r="D204" s="7"/>
      <c r="E204" s="7"/>
      <c r="F204" s="7"/>
      <c r="G204" s="7"/>
      <c r="H204" s="7"/>
      <c r="I204" s="57" t="s">
        <v>10</v>
      </c>
      <c r="J204" s="57"/>
      <c r="K204" s="57"/>
      <c r="L204" s="57"/>
      <c r="M204" s="57"/>
      <c r="N204" s="57"/>
      <c r="O204" s="57"/>
      <c r="P204" s="57" t="s">
        <v>261</v>
      </c>
      <c r="Q204" s="57"/>
      <c r="R204" s="57"/>
      <c r="S204" s="57"/>
      <c r="T204" s="57"/>
      <c r="U204" s="7" t="s">
        <v>10</v>
      </c>
      <c r="V204" s="7"/>
      <c r="W204" s="7"/>
      <c r="X204" s="7"/>
      <c r="Y204" s="7"/>
      <c r="Z204" s="7"/>
      <c r="AA204" s="7"/>
      <c r="AB204" s="7"/>
      <c r="AC204" s="7"/>
    </row>
    <row r="205" spans="1:29" s="1" customFormat="1" ht="13.5" customHeight="1">
      <c r="A205" s="7" t="s">
        <v>10</v>
      </c>
      <c r="B205" s="7"/>
      <c r="C205" s="7"/>
      <c r="D205" s="7"/>
      <c r="E205" s="7"/>
      <c r="F205" s="7"/>
      <c r="G205" s="7"/>
      <c r="H205" s="7"/>
      <c r="I205" s="10" t="s">
        <v>10</v>
      </c>
      <c r="J205" s="59" t="s">
        <v>258</v>
      </c>
      <c r="K205" s="59"/>
      <c r="L205" s="59"/>
      <c r="M205" s="59"/>
      <c r="N205" s="7" t="s">
        <v>10</v>
      </c>
      <c r="O205" s="7"/>
      <c r="P205" s="10" t="s">
        <v>10</v>
      </c>
      <c r="Q205" s="59" t="s">
        <v>259</v>
      </c>
      <c r="R205" s="59"/>
      <c r="S205" s="59"/>
      <c r="T205" s="7" t="s">
        <v>10</v>
      </c>
      <c r="U205" s="7"/>
      <c r="V205" s="7"/>
      <c r="W205" s="7"/>
      <c r="X205" s="7"/>
      <c r="Y205" s="7"/>
      <c r="Z205" s="7"/>
      <c r="AA205" s="7"/>
      <c r="AB205" s="7"/>
      <c r="AC205" s="7"/>
    </row>
    <row r="206" spans="1:29" s="1" customFormat="1" ht="7.5" customHeight="1">
      <c r="A206" s="7" t="s">
        <v>10</v>
      </c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29" s="1" customFormat="1" ht="13.5" customHeight="1">
      <c r="A207" s="7" t="s">
        <v>262</v>
      </c>
      <c r="B207" s="7"/>
      <c r="C207" s="57" t="s">
        <v>260</v>
      </c>
      <c r="D207" s="57"/>
      <c r="E207" s="57"/>
      <c r="F207" s="57"/>
      <c r="G207" s="57"/>
      <c r="H207" s="57"/>
      <c r="I207" s="57" t="s">
        <v>10</v>
      </c>
      <c r="J207" s="57"/>
      <c r="K207" s="57"/>
      <c r="L207" s="57"/>
      <c r="M207" s="57"/>
      <c r="N207" s="57"/>
      <c r="O207" s="57"/>
      <c r="P207" s="57" t="s">
        <v>261</v>
      </c>
      <c r="Q207" s="57"/>
      <c r="R207" s="57"/>
      <c r="S207" s="57"/>
      <c r="T207" s="57"/>
      <c r="U207" s="7" t="s">
        <v>10</v>
      </c>
      <c r="V207" s="7"/>
      <c r="W207" s="7"/>
      <c r="X207" s="7"/>
      <c r="Y207" s="7"/>
      <c r="Z207" s="7"/>
      <c r="AA207" s="7"/>
      <c r="AB207" s="7"/>
      <c r="AC207" s="7"/>
    </row>
    <row r="208" spans="1:29" s="1" customFormat="1" ht="13.5" customHeight="1">
      <c r="A208" s="7" t="s">
        <v>10</v>
      </c>
      <c r="B208" s="7"/>
      <c r="C208" s="10" t="s">
        <v>10</v>
      </c>
      <c r="D208" s="59" t="s">
        <v>263</v>
      </c>
      <c r="E208" s="59"/>
      <c r="F208" s="59"/>
      <c r="G208" s="59"/>
      <c r="H208" s="10" t="s">
        <v>10</v>
      </c>
      <c r="I208" s="10" t="s">
        <v>10</v>
      </c>
      <c r="J208" s="59" t="s">
        <v>258</v>
      </c>
      <c r="K208" s="59"/>
      <c r="L208" s="59"/>
      <c r="M208" s="59"/>
      <c r="N208" s="7" t="s">
        <v>10</v>
      </c>
      <c r="O208" s="7"/>
      <c r="P208" s="10" t="s">
        <v>10</v>
      </c>
      <c r="Q208" s="59" t="s">
        <v>259</v>
      </c>
      <c r="R208" s="59"/>
      <c r="S208" s="59"/>
      <c r="T208" s="7" t="s">
        <v>10</v>
      </c>
      <c r="U208" s="7"/>
      <c r="V208" s="7"/>
      <c r="W208" s="7"/>
      <c r="X208" s="7"/>
      <c r="Y208" s="7"/>
      <c r="Z208" s="7"/>
      <c r="AA208" s="7"/>
      <c r="AB208" s="7"/>
      <c r="AC208" s="7"/>
    </row>
    <row r="209" spans="1:29" s="1" customFormat="1" ht="15.75" customHeight="1">
      <c r="A209" s="7" t="s">
        <v>10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</row>
    <row r="210" spans="1:29" s="1" customFormat="1" ht="13.5" customHeight="1">
      <c r="A210" s="60" t="s">
        <v>264</v>
      </c>
      <c r="B210" s="60"/>
      <c r="C210" s="60"/>
      <c r="D210" s="60"/>
      <c r="E210" s="60"/>
      <c r="F210" s="60"/>
      <c r="G210" s="60"/>
      <c r="H210" s="60"/>
      <c r="I210" s="60"/>
      <c r="J210" s="60"/>
      <c r="K210" s="7" t="s">
        <v>10</v>
      </c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</row>
    <row r="211" spans="1:29" s="1" customFormat="1" ht="13.5" customHeight="1">
      <c r="A211" s="4" t="s">
        <v>265</v>
      </c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</sheetData>
  <sheetProtection/>
  <mergeCells count="1312">
    <mergeCell ref="A209:AC209"/>
    <mergeCell ref="A210:J210"/>
    <mergeCell ref="K210:AC210"/>
    <mergeCell ref="A211:AC211"/>
    <mergeCell ref="A208:B208"/>
    <mergeCell ref="D208:G208"/>
    <mergeCell ref="J208:M208"/>
    <mergeCell ref="N208:O208"/>
    <mergeCell ref="Q208:S208"/>
    <mergeCell ref="T208:AC208"/>
    <mergeCell ref="A206:AC206"/>
    <mergeCell ref="A207:B207"/>
    <mergeCell ref="C207:H207"/>
    <mergeCell ref="I207:O207"/>
    <mergeCell ref="P207:T207"/>
    <mergeCell ref="U207:AC207"/>
    <mergeCell ref="A203:AC203"/>
    <mergeCell ref="A204:H204"/>
    <mergeCell ref="I204:O204"/>
    <mergeCell ref="P204:T204"/>
    <mergeCell ref="U204:AC204"/>
    <mergeCell ref="A205:H205"/>
    <mergeCell ref="J205:M205"/>
    <mergeCell ref="N205:O205"/>
    <mergeCell ref="Q205:S205"/>
    <mergeCell ref="T205:AC205"/>
    <mergeCell ref="A200:AC200"/>
    <mergeCell ref="A201:H201"/>
    <mergeCell ref="I201:O201"/>
    <mergeCell ref="P201:T201"/>
    <mergeCell ref="U201:AC201"/>
    <mergeCell ref="A202:H202"/>
    <mergeCell ref="J202:M202"/>
    <mergeCell ref="N202:O202"/>
    <mergeCell ref="Q202:S202"/>
    <mergeCell ref="T202:AC202"/>
    <mergeCell ref="A199:L199"/>
    <mergeCell ref="M199:O199"/>
    <mergeCell ref="P199:R199"/>
    <mergeCell ref="S199:U199"/>
    <mergeCell ref="V199:Z199"/>
    <mergeCell ref="AA199:AC199"/>
    <mergeCell ref="A198:L198"/>
    <mergeCell ref="M198:O198"/>
    <mergeCell ref="P198:R198"/>
    <mergeCell ref="S198:U198"/>
    <mergeCell ref="V198:Z198"/>
    <mergeCell ref="AA198:AC198"/>
    <mergeCell ref="A197:L197"/>
    <mergeCell ref="M197:O197"/>
    <mergeCell ref="P197:R197"/>
    <mergeCell ref="S197:U197"/>
    <mergeCell ref="V197:Z197"/>
    <mergeCell ref="AA197:AC197"/>
    <mergeCell ref="A196:L196"/>
    <mergeCell ref="M196:O196"/>
    <mergeCell ref="P196:R196"/>
    <mergeCell ref="S196:U196"/>
    <mergeCell ref="V196:Z196"/>
    <mergeCell ref="AA196:AC196"/>
    <mergeCell ref="A194:AC194"/>
    <mergeCell ref="A195:L195"/>
    <mergeCell ref="M195:O195"/>
    <mergeCell ref="P195:R195"/>
    <mergeCell ref="S195:U195"/>
    <mergeCell ref="V195:Z195"/>
    <mergeCell ref="AA195:AC195"/>
    <mergeCell ref="A193:L193"/>
    <mergeCell ref="M193:O193"/>
    <mergeCell ref="P193:R193"/>
    <mergeCell ref="S193:U193"/>
    <mergeCell ref="V193:Z193"/>
    <mergeCell ref="AA193:AC193"/>
    <mergeCell ref="A192:L192"/>
    <mergeCell ref="M192:O192"/>
    <mergeCell ref="P192:R192"/>
    <mergeCell ref="S192:U192"/>
    <mergeCell ref="V192:Z192"/>
    <mergeCell ref="AA192:AC192"/>
    <mergeCell ref="A191:L191"/>
    <mergeCell ref="M191:O191"/>
    <mergeCell ref="P191:R191"/>
    <mergeCell ref="S191:U191"/>
    <mergeCell ref="V191:Z191"/>
    <mergeCell ref="AA191:AC191"/>
    <mergeCell ref="A190:L190"/>
    <mergeCell ref="M190:O190"/>
    <mergeCell ref="P190:R190"/>
    <mergeCell ref="S190:U190"/>
    <mergeCell ref="V190:Z190"/>
    <mergeCell ref="AA190:AC190"/>
    <mergeCell ref="A187:AC187"/>
    <mergeCell ref="A188:AC188"/>
    <mergeCell ref="A189:L189"/>
    <mergeCell ref="M189:O189"/>
    <mergeCell ref="P189:R189"/>
    <mergeCell ref="S189:U189"/>
    <mergeCell ref="V189:Z189"/>
    <mergeCell ref="AA189:AC189"/>
    <mergeCell ref="AB185:AC185"/>
    <mergeCell ref="A186:K186"/>
    <mergeCell ref="L186:N186"/>
    <mergeCell ref="O186:Q186"/>
    <mergeCell ref="R186:S186"/>
    <mergeCell ref="T186:V186"/>
    <mergeCell ref="W186:AA186"/>
    <mergeCell ref="AB186:AC186"/>
    <mergeCell ref="A185:K185"/>
    <mergeCell ref="L185:N185"/>
    <mergeCell ref="O185:Q185"/>
    <mergeCell ref="R185:S185"/>
    <mergeCell ref="T185:V185"/>
    <mergeCell ref="W185:AA185"/>
    <mergeCell ref="AB183:AC183"/>
    <mergeCell ref="A184:K184"/>
    <mergeCell ref="L184:N184"/>
    <mergeCell ref="O184:Q184"/>
    <mergeCell ref="R184:S184"/>
    <mergeCell ref="T184:V184"/>
    <mergeCell ref="W184:AA184"/>
    <mergeCell ref="AB184:AC184"/>
    <mergeCell ref="A183:K183"/>
    <mergeCell ref="L183:N183"/>
    <mergeCell ref="O183:Q183"/>
    <mergeCell ref="R183:S183"/>
    <mergeCell ref="T183:V183"/>
    <mergeCell ref="W183:AA183"/>
    <mergeCell ref="AB181:AC181"/>
    <mergeCell ref="A182:K182"/>
    <mergeCell ref="L182:N182"/>
    <mergeCell ref="O182:Q182"/>
    <mergeCell ref="R182:S182"/>
    <mergeCell ref="T182:V182"/>
    <mergeCell ref="W182:AA182"/>
    <mergeCell ref="AB182:AC182"/>
    <mergeCell ref="A181:K181"/>
    <mergeCell ref="L181:N181"/>
    <mergeCell ref="O181:Q181"/>
    <mergeCell ref="R181:S181"/>
    <mergeCell ref="T181:V181"/>
    <mergeCell ref="W181:AA181"/>
    <mergeCell ref="AB179:AC179"/>
    <mergeCell ref="A180:K180"/>
    <mergeCell ref="L180:N180"/>
    <mergeCell ref="O180:Q180"/>
    <mergeCell ref="R180:S180"/>
    <mergeCell ref="T180:V180"/>
    <mergeCell ref="W180:AA180"/>
    <mergeCell ref="AB180:AC180"/>
    <mergeCell ref="A179:K179"/>
    <mergeCell ref="L179:N179"/>
    <mergeCell ref="O179:Q179"/>
    <mergeCell ref="R179:S179"/>
    <mergeCell ref="T179:V179"/>
    <mergeCell ref="W179:AA179"/>
    <mergeCell ref="AB177:AC177"/>
    <mergeCell ref="A178:K178"/>
    <mergeCell ref="L178:N178"/>
    <mergeCell ref="O178:Q178"/>
    <mergeCell ref="R178:S178"/>
    <mergeCell ref="T178:V178"/>
    <mergeCell ref="W178:AA178"/>
    <mergeCell ref="AB178:AC178"/>
    <mergeCell ref="A177:K177"/>
    <mergeCell ref="L177:N177"/>
    <mergeCell ref="O177:Q177"/>
    <mergeCell ref="R177:S177"/>
    <mergeCell ref="T177:V177"/>
    <mergeCell ref="W177:AA177"/>
    <mergeCell ref="AB175:AC175"/>
    <mergeCell ref="A176:K176"/>
    <mergeCell ref="L176:N176"/>
    <mergeCell ref="O176:Q176"/>
    <mergeCell ref="R176:S176"/>
    <mergeCell ref="T176:V176"/>
    <mergeCell ref="W176:AA176"/>
    <mergeCell ref="AB176:AC176"/>
    <mergeCell ref="A175:K175"/>
    <mergeCell ref="L175:N175"/>
    <mergeCell ref="O175:Q175"/>
    <mergeCell ref="R175:S175"/>
    <mergeCell ref="T175:V175"/>
    <mergeCell ref="W175:AA175"/>
    <mergeCell ref="AB173:AC173"/>
    <mergeCell ref="A174:K174"/>
    <mergeCell ref="L174:N174"/>
    <mergeCell ref="O174:Q174"/>
    <mergeCell ref="R174:S174"/>
    <mergeCell ref="T174:V174"/>
    <mergeCell ref="W174:AA174"/>
    <mergeCell ref="AB174:AC174"/>
    <mergeCell ref="A173:K173"/>
    <mergeCell ref="L173:N173"/>
    <mergeCell ref="O173:Q173"/>
    <mergeCell ref="R173:S173"/>
    <mergeCell ref="T173:V173"/>
    <mergeCell ref="W173:AA173"/>
    <mergeCell ref="AB171:AC171"/>
    <mergeCell ref="A172:K172"/>
    <mergeCell ref="L172:N172"/>
    <mergeCell ref="O172:Q172"/>
    <mergeCell ref="R172:S172"/>
    <mergeCell ref="T172:V172"/>
    <mergeCell ref="W172:AA172"/>
    <mergeCell ref="AB172:AC172"/>
    <mergeCell ref="A171:K171"/>
    <mergeCell ref="L171:N171"/>
    <mergeCell ref="O171:Q171"/>
    <mergeCell ref="R171:S171"/>
    <mergeCell ref="T171:V171"/>
    <mergeCell ref="W171:AA171"/>
    <mergeCell ref="AB169:AC169"/>
    <mergeCell ref="A170:K170"/>
    <mergeCell ref="L170:N170"/>
    <mergeCell ref="O170:Q170"/>
    <mergeCell ref="R170:S170"/>
    <mergeCell ref="T170:V170"/>
    <mergeCell ref="W170:AA170"/>
    <mergeCell ref="AB170:AC170"/>
    <mergeCell ref="A169:K169"/>
    <mergeCell ref="L169:N169"/>
    <mergeCell ref="O169:Q169"/>
    <mergeCell ref="R169:S169"/>
    <mergeCell ref="T169:V169"/>
    <mergeCell ref="W169:AA169"/>
    <mergeCell ref="AB167:AC167"/>
    <mergeCell ref="A168:K168"/>
    <mergeCell ref="L168:N168"/>
    <mergeCell ref="O168:Q168"/>
    <mergeCell ref="R168:S168"/>
    <mergeCell ref="T168:V168"/>
    <mergeCell ref="W168:AA168"/>
    <mergeCell ref="AB168:AC168"/>
    <mergeCell ref="A167:K167"/>
    <mergeCell ref="L167:N167"/>
    <mergeCell ref="O167:Q167"/>
    <mergeCell ref="R167:S167"/>
    <mergeCell ref="T167:V167"/>
    <mergeCell ref="W167:AA167"/>
    <mergeCell ref="AB165:AC165"/>
    <mergeCell ref="A166:K166"/>
    <mergeCell ref="L166:N166"/>
    <mergeCell ref="O166:Q166"/>
    <mergeCell ref="R166:S166"/>
    <mergeCell ref="T166:V166"/>
    <mergeCell ref="W166:AA166"/>
    <mergeCell ref="AB166:AC166"/>
    <mergeCell ref="A165:K165"/>
    <mergeCell ref="L165:N165"/>
    <mergeCell ref="O165:Q165"/>
    <mergeCell ref="R165:S165"/>
    <mergeCell ref="T165:V165"/>
    <mergeCell ref="W165:AA165"/>
    <mergeCell ref="AB163:AC163"/>
    <mergeCell ref="A164:K164"/>
    <mergeCell ref="L164:N164"/>
    <mergeCell ref="O164:Q164"/>
    <mergeCell ref="R164:S164"/>
    <mergeCell ref="T164:V164"/>
    <mergeCell ref="W164:AA164"/>
    <mergeCell ref="AB164:AC164"/>
    <mergeCell ref="A163:K163"/>
    <mergeCell ref="L163:N163"/>
    <mergeCell ref="O163:Q163"/>
    <mergeCell ref="R163:S163"/>
    <mergeCell ref="T163:V163"/>
    <mergeCell ref="W163:AA163"/>
    <mergeCell ref="AB161:AC161"/>
    <mergeCell ref="A162:K162"/>
    <mergeCell ref="L162:N162"/>
    <mergeCell ref="O162:Q162"/>
    <mergeCell ref="R162:S162"/>
    <mergeCell ref="T162:V162"/>
    <mergeCell ref="W162:AA162"/>
    <mergeCell ref="AB162:AC162"/>
    <mergeCell ref="A161:K161"/>
    <mergeCell ref="L161:N161"/>
    <mergeCell ref="O161:Q161"/>
    <mergeCell ref="R161:S161"/>
    <mergeCell ref="T161:V161"/>
    <mergeCell ref="W161:AA161"/>
    <mergeCell ref="AB159:AC159"/>
    <mergeCell ref="A160:K160"/>
    <mergeCell ref="L160:N160"/>
    <mergeCell ref="O160:Q160"/>
    <mergeCell ref="R160:S160"/>
    <mergeCell ref="T160:V160"/>
    <mergeCell ref="W160:AA160"/>
    <mergeCell ref="AB160:AC160"/>
    <mergeCell ref="A159:K159"/>
    <mergeCell ref="L159:N159"/>
    <mergeCell ref="O159:Q159"/>
    <mergeCell ref="R159:S159"/>
    <mergeCell ref="T159:V159"/>
    <mergeCell ref="W159:AA159"/>
    <mergeCell ref="AB157:AC157"/>
    <mergeCell ref="A158:K158"/>
    <mergeCell ref="L158:N158"/>
    <mergeCell ref="O158:Q158"/>
    <mergeCell ref="R158:S158"/>
    <mergeCell ref="T158:V158"/>
    <mergeCell ref="W158:AA158"/>
    <mergeCell ref="AB158:AC158"/>
    <mergeCell ref="A157:K157"/>
    <mergeCell ref="L157:N157"/>
    <mergeCell ref="O157:Q157"/>
    <mergeCell ref="R157:S157"/>
    <mergeCell ref="T157:V157"/>
    <mergeCell ref="W157:AA157"/>
    <mergeCell ref="AB155:AC155"/>
    <mergeCell ref="A156:K156"/>
    <mergeCell ref="L156:N156"/>
    <mergeCell ref="O156:Q156"/>
    <mergeCell ref="R156:S156"/>
    <mergeCell ref="T156:V156"/>
    <mergeCell ref="W156:AA156"/>
    <mergeCell ref="AB156:AC156"/>
    <mergeCell ref="A155:K155"/>
    <mergeCell ref="L155:N155"/>
    <mergeCell ref="O155:Q155"/>
    <mergeCell ref="R155:S155"/>
    <mergeCell ref="T155:V155"/>
    <mergeCell ref="W155:AA155"/>
    <mergeCell ref="AB153:AC153"/>
    <mergeCell ref="A154:K154"/>
    <mergeCell ref="L154:N154"/>
    <mergeCell ref="O154:Q154"/>
    <mergeCell ref="R154:S154"/>
    <mergeCell ref="T154:V154"/>
    <mergeCell ref="W154:AA154"/>
    <mergeCell ref="AB154:AC154"/>
    <mergeCell ref="A153:K153"/>
    <mergeCell ref="L153:N153"/>
    <mergeCell ref="O153:Q153"/>
    <mergeCell ref="R153:S153"/>
    <mergeCell ref="T153:V153"/>
    <mergeCell ref="W153:AA153"/>
    <mergeCell ref="AB151:AC151"/>
    <mergeCell ref="A152:K152"/>
    <mergeCell ref="L152:N152"/>
    <mergeCell ref="O152:Q152"/>
    <mergeCell ref="R152:S152"/>
    <mergeCell ref="T152:V152"/>
    <mergeCell ref="W152:AA152"/>
    <mergeCell ref="AB152:AC152"/>
    <mergeCell ref="A151:K151"/>
    <mergeCell ref="L151:N151"/>
    <mergeCell ref="O151:Q151"/>
    <mergeCell ref="R151:S151"/>
    <mergeCell ref="T151:V151"/>
    <mergeCell ref="W151:AA151"/>
    <mergeCell ref="AB149:AC149"/>
    <mergeCell ref="A150:K150"/>
    <mergeCell ref="L150:N150"/>
    <mergeCell ref="O150:Q150"/>
    <mergeCell ref="R150:S150"/>
    <mergeCell ref="T150:V150"/>
    <mergeCell ref="W150:AA150"/>
    <mergeCell ref="AB150:AC150"/>
    <mergeCell ref="A149:K149"/>
    <mergeCell ref="L149:N149"/>
    <mergeCell ref="O149:Q149"/>
    <mergeCell ref="R149:S149"/>
    <mergeCell ref="T149:V149"/>
    <mergeCell ref="W149:AA149"/>
    <mergeCell ref="AB147:AC147"/>
    <mergeCell ref="A148:K148"/>
    <mergeCell ref="L148:N148"/>
    <mergeCell ref="O148:Q148"/>
    <mergeCell ref="R148:S148"/>
    <mergeCell ref="T148:V148"/>
    <mergeCell ref="W148:AA148"/>
    <mergeCell ref="AB148:AC148"/>
    <mergeCell ref="A147:K147"/>
    <mergeCell ref="L147:N147"/>
    <mergeCell ref="O147:Q147"/>
    <mergeCell ref="R147:S147"/>
    <mergeCell ref="T147:V147"/>
    <mergeCell ref="W147:AA147"/>
    <mergeCell ref="AB145:AC145"/>
    <mergeCell ref="A146:K146"/>
    <mergeCell ref="L146:N146"/>
    <mergeCell ref="O146:Q146"/>
    <mergeCell ref="R146:S146"/>
    <mergeCell ref="T146:V146"/>
    <mergeCell ref="W146:AA146"/>
    <mergeCell ref="AB146:AC146"/>
    <mergeCell ref="A145:K145"/>
    <mergeCell ref="L145:N145"/>
    <mergeCell ref="O145:Q145"/>
    <mergeCell ref="R145:S145"/>
    <mergeCell ref="T145:V145"/>
    <mergeCell ref="W145:AA145"/>
    <mergeCell ref="AB143:AC143"/>
    <mergeCell ref="A144:K144"/>
    <mergeCell ref="L144:N144"/>
    <mergeCell ref="O144:Q144"/>
    <mergeCell ref="R144:S144"/>
    <mergeCell ref="T144:V144"/>
    <mergeCell ref="W144:AA144"/>
    <mergeCell ref="AB144:AC144"/>
    <mergeCell ref="A143:K143"/>
    <mergeCell ref="L143:N143"/>
    <mergeCell ref="O143:Q143"/>
    <mergeCell ref="R143:S143"/>
    <mergeCell ref="T143:V143"/>
    <mergeCell ref="W143:AA143"/>
    <mergeCell ref="AB141:AC141"/>
    <mergeCell ref="A142:K142"/>
    <mergeCell ref="L142:N142"/>
    <mergeCell ref="O142:Q142"/>
    <mergeCell ref="R142:S142"/>
    <mergeCell ref="T142:V142"/>
    <mergeCell ref="W142:AA142"/>
    <mergeCell ref="AB142:AC142"/>
    <mergeCell ref="A141:K141"/>
    <mergeCell ref="L141:N141"/>
    <mergeCell ref="O141:Q141"/>
    <mergeCell ref="R141:S141"/>
    <mergeCell ref="T141:V141"/>
    <mergeCell ref="W141:AA141"/>
    <mergeCell ref="AB139:AC139"/>
    <mergeCell ref="A140:K140"/>
    <mergeCell ref="L140:N140"/>
    <mergeCell ref="O140:Q140"/>
    <mergeCell ref="R140:S140"/>
    <mergeCell ref="T140:V140"/>
    <mergeCell ref="W140:AA140"/>
    <mergeCell ref="AB140:AC140"/>
    <mergeCell ref="A139:K139"/>
    <mergeCell ref="L139:N139"/>
    <mergeCell ref="O139:Q139"/>
    <mergeCell ref="R139:S139"/>
    <mergeCell ref="T139:V139"/>
    <mergeCell ref="W139:AA139"/>
    <mergeCell ref="AB137:AC137"/>
    <mergeCell ref="A138:K138"/>
    <mergeCell ref="L138:N138"/>
    <mergeCell ref="O138:Q138"/>
    <mergeCell ref="R138:S138"/>
    <mergeCell ref="T138:V138"/>
    <mergeCell ref="W138:AA138"/>
    <mergeCell ref="AB138:AC138"/>
    <mergeCell ref="A137:K137"/>
    <mergeCell ref="L137:N137"/>
    <mergeCell ref="O137:Q137"/>
    <mergeCell ref="R137:S137"/>
    <mergeCell ref="T137:V137"/>
    <mergeCell ref="W137:AA137"/>
    <mergeCell ref="AB135:AC135"/>
    <mergeCell ref="A136:K136"/>
    <mergeCell ref="L136:N136"/>
    <mergeCell ref="O136:Q136"/>
    <mergeCell ref="R136:S136"/>
    <mergeCell ref="T136:V136"/>
    <mergeCell ref="W136:AA136"/>
    <mergeCell ref="AB136:AC136"/>
    <mergeCell ref="A135:K135"/>
    <mergeCell ref="L135:N135"/>
    <mergeCell ref="O135:Q135"/>
    <mergeCell ref="R135:S135"/>
    <mergeCell ref="T135:V135"/>
    <mergeCell ref="W135:AA135"/>
    <mergeCell ref="AB133:AC133"/>
    <mergeCell ref="A134:K134"/>
    <mergeCell ref="L134:N134"/>
    <mergeCell ref="O134:Q134"/>
    <mergeCell ref="R134:S134"/>
    <mergeCell ref="T134:V134"/>
    <mergeCell ref="W134:AA134"/>
    <mergeCell ref="AB134:AC134"/>
    <mergeCell ref="A133:K133"/>
    <mergeCell ref="L133:N133"/>
    <mergeCell ref="O133:Q133"/>
    <mergeCell ref="R133:S133"/>
    <mergeCell ref="T133:V133"/>
    <mergeCell ref="W133:AA133"/>
    <mergeCell ref="AB131:AC131"/>
    <mergeCell ref="A132:K132"/>
    <mergeCell ref="L132:N132"/>
    <mergeCell ref="O132:Q132"/>
    <mergeCell ref="R132:S132"/>
    <mergeCell ref="T132:V132"/>
    <mergeCell ref="W132:AA132"/>
    <mergeCell ref="AB132:AC132"/>
    <mergeCell ref="A131:K131"/>
    <mergeCell ref="L131:N131"/>
    <mergeCell ref="O131:Q131"/>
    <mergeCell ref="R131:S131"/>
    <mergeCell ref="T131:V131"/>
    <mergeCell ref="W131:AA131"/>
    <mergeCell ref="AB129:AC129"/>
    <mergeCell ref="A130:K130"/>
    <mergeCell ref="L130:N130"/>
    <mergeCell ref="O130:Q130"/>
    <mergeCell ref="R130:S130"/>
    <mergeCell ref="T130:V130"/>
    <mergeCell ref="W130:AA130"/>
    <mergeCell ref="AB130:AC130"/>
    <mergeCell ref="A129:K129"/>
    <mergeCell ref="L129:N129"/>
    <mergeCell ref="O129:Q129"/>
    <mergeCell ref="R129:S129"/>
    <mergeCell ref="T129:V129"/>
    <mergeCell ref="W129:AA129"/>
    <mergeCell ref="AB127:AC127"/>
    <mergeCell ref="A128:K128"/>
    <mergeCell ref="L128:N128"/>
    <mergeCell ref="O128:Q128"/>
    <mergeCell ref="R128:S128"/>
    <mergeCell ref="T128:V128"/>
    <mergeCell ref="W128:AA128"/>
    <mergeCell ref="AB128:AC128"/>
    <mergeCell ref="A127:K127"/>
    <mergeCell ref="L127:N127"/>
    <mergeCell ref="O127:Q127"/>
    <mergeCell ref="R127:S127"/>
    <mergeCell ref="T127:V127"/>
    <mergeCell ref="W127:AA127"/>
    <mergeCell ref="AB125:AC125"/>
    <mergeCell ref="A126:K126"/>
    <mergeCell ref="L126:N126"/>
    <mergeCell ref="O126:Q126"/>
    <mergeCell ref="R126:S126"/>
    <mergeCell ref="T126:V126"/>
    <mergeCell ref="W126:AA126"/>
    <mergeCell ref="AB126:AC126"/>
    <mergeCell ref="A125:K125"/>
    <mergeCell ref="L125:N125"/>
    <mergeCell ref="O125:Q125"/>
    <mergeCell ref="R125:S125"/>
    <mergeCell ref="T125:V125"/>
    <mergeCell ref="W125:AA125"/>
    <mergeCell ref="AB123:AC123"/>
    <mergeCell ref="A124:K124"/>
    <mergeCell ref="L124:N124"/>
    <mergeCell ref="O124:Q124"/>
    <mergeCell ref="R124:S124"/>
    <mergeCell ref="T124:V124"/>
    <mergeCell ref="W124:AA124"/>
    <mergeCell ref="AB124:AC124"/>
    <mergeCell ref="A123:K123"/>
    <mergeCell ref="L123:N123"/>
    <mergeCell ref="O123:Q123"/>
    <mergeCell ref="R123:S123"/>
    <mergeCell ref="T123:V123"/>
    <mergeCell ref="W123:AA123"/>
    <mergeCell ref="AB121:AC121"/>
    <mergeCell ref="A122:K122"/>
    <mergeCell ref="L122:N122"/>
    <mergeCell ref="O122:Q122"/>
    <mergeCell ref="R122:S122"/>
    <mergeCell ref="T122:V122"/>
    <mergeCell ref="W122:AA122"/>
    <mergeCell ref="AB122:AC122"/>
    <mergeCell ref="A121:K121"/>
    <mergeCell ref="L121:N121"/>
    <mergeCell ref="O121:Q121"/>
    <mergeCell ref="R121:S121"/>
    <mergeCell ref="T121:V121"/>
    <mergeCell ref="W121:AA121"/>
    <mergeCell ref="AB119:AC119"/>
    <mergeCell ref="A120:K120"/>
    <mergeCell ref="L120:N120"/>
    <mergeCell ref="O120:Q120"/>
    <mergeCell ref="R120:S120"/>
    <mergeCell ref="T120:V120"/>
    <mergeCell ref="W120:AA120"/>
    <mergeCell ref="AB120:AC120"/>
    <mergeCell ref="A119:K119"/>
    <mergeCell ref="L119:N119"/>
    <mergeCell ref="O119:Q119"/>
    <mergeCell ref="R119:S119"/>
    <mergeCell ref="T119:V119"/>
    <mergeCell ref="W119:AA119"/>
    <mergeCell ref="AB117:AC117"/>
    <mergeCell ref="A118:K118"/>
    <mergeCell ref="L118:N118"/>
    <mergeCell ref="O118:Q118"/>
    <mergeCell ref="R118:S118"/>
    <mergeCell ref="T118:V118"/>
    <mergeCell ref="W118:AA118"/>
    <mergeCell ref="AB118:AC118"/>
    <mergeCell ref="A117:K117"/>
    <mergeCell ref="L117:N117"/>
    <mergeCell ref="O117:Q117"/>
    <mergeCell ref="R117:S117"/>
    <mergeCell ref="T117:V117"/>
    <mergeCell ref="W117:AA117"/>
    <mergeCell ref="AB115:AC115"/>
    <mergeCell ref="A116:K116"/>
    <mergeCell ref="L116:N116"/>
    <mergeCell ref="O116:Q116"/>
    <mergeCell ref="R116:S116"/>
    <mergeCell ref="T116:V116"/>
    <mergeCell ref="W116:AA116"/>
    <mergeCell ref="AB116:AC116"/>
    <mergeCell ref="A115:K115"/>
    <mergeCell ref="L115:N115"/>
    <mergeCell ref="O115:Q115"/>
    <mergeCell ref="R115:S115"/>
    <mergeCell ref="T115:V115"/>
    <mergeCell ref="W115:AA115"/>
    <mergeCell ref="AB113:AC113"/>
    <mergeCell ref="A114:K114"/>
    <mergeCell ref="L114:N114"/>
    <mergeCell ref="O114:Q114"/>
    <mergeCell ref="R114:S114"/>
    <mergeCell ref="T114:V114"/>
    <mergeCell ref="W114:AA114"/>
    <mergeCell ref="AB114:AC114"/>
    <mergeCell ref="A113:K113"/>
    <mergeCell ref="L113:N113"/>
    <mergeCell ref="O113:Q113"/>
    <mergeCell ref="R113:S113"/>
    <mergeCell ref="T113:V113"/>
    <mergeCell ref="W113:AA113"/>
    <mergeCell ref="AB111:AC111"/>
    <mergeCell ref="A112:K112"/>
    <mergeCell ref="L112:N112"/>
    <mergeCell ref="O112:Q112"/>
    <mergeCell ref="R112:S112"/>
    <mergeCell ref="T112:V112"/>
    <mergeCell ref="W112:AA112"/>
    <mergeCell ref="AB112:AC112"/>
    <mergeCell ref="A111:K111"/>
    <mergeCell ref="L111:N111"/>
    <mergeCell ref="O111:Q111"/>
    <mergeCell ref="R111:S111"/>
    <mergeCell ref="T111:V111"/>
    <mergeCell ref="W111:AA111"/>
    <mergeCell ref="AB109:AC109"/>
    <mergeCell ref="A110:K110"/>
    <mergeCell ref="L110:N110"/>
    <mergeCell ref="O110:Q110"/>
    <mergeCell ref="R110:S110"/>
    <mergeCell ref="T110:V110"/>
    <mergeCell ref="W110:AA110"/>
    <mergeCell ref="AB110:AC110"/>
    <mergeCell ref="A109:K109"/>
    <mergeCell ref="L109:N109"/>
    <mergeCell ref="O109:Q109"/>
    <mergeCell ref="R109:S109"/>
    <mergeCell ref="T109:V109"/>
    <mergeCell ref="W109:AA109"/>
    <mergeCell ref="AB107:AC107"/>
    <mergeCell ref="A108:K108"/>
    <mergeCell ref="L108:N108"/>
    <mergeCell ref="O108:Q108"/>
    <mergeCell ref="R108:S108"/>
    <mergeCell ref="T108:V108"/>
    <mergeCell ref="W108:AA108"/>
    <mergeCell ref="AB108:AC108"/>
    <mergeCell ref="A107:K107"/>
    <mergeCell ref="L107:N107"/>
    <mergeCell ref="O107:Q107"/>
    <mergeCell ref="R107:S107"/>
    <mergeCell ref="T107:V107"/>
    <mergeCell ref="W107:AA107"/>
    <mergeCell ref="AB105:AC105"/>
    <mergeCell ref="A106:K106"/>
    <mergeCell ref="L106:N106"/>
    <mergeCell ref="O106:Q106"/>
    <mergeCell ref="R106:S106"/>
    <mergeCell ref="T106:V106"/>
    <mergeCell ref="W106:AA106"/>
    <mergeCell ref="AB106:AC106"/>
    <mergeCell ref="A105:K105"/>
    <mergeCell ref="L105:N105"/>
    <mergeCell ref="O105:Q105"/>
    <mergeCell ref="R105:S105"/>
    <mergeCell ref="T105:V105"/>
    <mergeCell ref="W105:AA105"/>
    <mergeCell ref="AB103:AC103"/>
    <mergeCell ref="A104:K104"/>
    <mergeCell ref="L104:N104"/>
    <mergeCell ref="O104:Q104"/>
    <mergeCell ref="R104:S104"/>
    <mergeCell ref="T104:V104"/>
    <mergeCell ref="W104:AA104"/>
    <mergeCell ref="AB104:AC104"/>
    <mergeCell ref="A103:K103"/>
    <mergeCell ref="L103:N103"/>
    <mergeCell ref="O103:Q103"/>
    <mergeCell ref="R103:S103"/>
    <mergeCell ref="T103:V103"/>
    <mergeCell ref="W103:AA103"/>
    <mergeCell ref="AB101:AC101"/>
    <mergeCell ref="A102:K102"/>
    <mergeCell ref="L102:N102"/>
    <mergeCell ref="O102:Q102"/>
    <mergeCell ref="R102:S102"/>
    <mergeCell ref="T102:V102"/>
    <mergeCell ref="W102:AA102"/>
    <mergeCell ref="AB102:AC102"/>
    <mergeCell ref="A101:K101"/>
    <mergeCell ref="L101:N101"/>
    <mergeCell ref="O101:Q101"/>
    <mergeCell ref="R101:S101"/>
    <mergeCell ref="T101:V101"/>
    <mergeCell ref="W101:AA101"/>
    <mergeCell ref="AB99:AC99"/>
    <mergeCell ref="A100:K100"/>
    <mergeCell ref="L100:N100"/>
    <mergeCell ref="O100:Q100"/>
    <mergeCell ref="R100:S100"/>
    <mergeCell ref="T100:V100"/>
    <mergeCell ref="W100:AA100"/>
    <mergeCell ref="AB100:AC100"/>
    <mergeCell ref="A99:K99"/>
    <mergeCell ref="L99:N99"/>
    <mergeCell ref="O99:Q99"/>
    <mergeCell ref="R99:S99"/>
    <mergeCell ref="T99:V99"/>
    <mergeCell ref="W99:AA99"/>
    <mergeCell ref="AB97:AC97"/>
    <mergeCell ref="A98:K98"/>
    <mergeCell ref="L98:N98"/>
    <mergeCell ref="O98:Q98"/>
    <mergeCell ref="R98:S98"/>
    <mergeCell ref="T98:V98"/>
    <mergeCell ref="W98:AA98"/>
    <mergeCell ref="AB98:AC98"/>
    <mergeCell ref="A97:K97"/>
    <mergeCell ref="L97:N97"/>
    <mergeCell ref="O97:Q97"/>
    <mergeCell ref="R97:S97"/>
    <mergeCell ref="T97:V97"/>
    <mergeCell ref="W97:AA97"/>
    <mergeCell ref="AB95:AC95"/>
    <mergeCell ref="A96:K96"/>
    <mergeCell ref="L96:N96"/>
    <mergeCell ref="O96:Q96"/>
    <mergeCell ref="R96:S96"/>
    <mergeCell ref="T96:V96"/>
    <mergeCell ref="W96:AA96"/>
    <mergeCell ref="AB96:AC96"/>
    <mergeCell ref="A95:K95"/>
    <mergeCell ref="L95:N95"/>
    <mergeCell ref="O95:Q95"/>
    <mergeCell ref="R95:S95"/>
    <mergeCell ref="T95:V95"/>
    <mergeCell ref="W95:AA95"/>
    <mergeCell ref="AB93:AC93"/>
    <mergeCell ref="A94:K94"/>
    <mergeCell ref="L94:N94"/>
    <mergeCell ref="O94:Q94"/>
    <mergeCell ref="R94:S94"/>
    <mergeCell ref="T94:V94"/>
    <mergeCell ref="W94:AA94"/>
    <mergeCell ref="AB94:AC94"/>
    <mergeCell ref="A93:K93"/>
    <mergeCell ref="L93:N93"/>
    <mergeCell ref="O93:Q93"/>
    <mergeCell ref="R93:S93"/>
    <mergeCell ref="T93:V93"/>
    <mergeCell ref="W93:AA93"/>
    <mergeCell ref="AB91:AC91"/>
    <mergeCell ref="A92:K92"/>
    <mergeCell ref="L92:N92"/>
    <mergeCell ref="O92:Q92"/>
    <mergeCell ref="R92:S92"/>
    <mergeCell ref="T92:V92"/>
    <mergeCell ref="W92:AA92"/>
    <mergeCell ref="AB92:AC92"/>
    <mergeCell ref="A91:K91"/>
    <mergeCell ref="L91:N91"/>
    <mergeCell ref="O91:Q91"/>
    <mergeCell ref="R91:S91"/>
    <mergeCell ref="T91:V91"/>
    <mergeCell ref="W91:AA91"/>
    <mergeCell ref="AB89:AC89"/>
    <mergeCell ref="A90:K90"/>
    <mergeCell ref="L90:N90"/>
    <mergeCell ref="O90:Q90"/>
    <mergeCell ref="R90:S90"/>
    <mergeCell ref="T90:V90"/>
    <mergeCell ref="W90:AA90"/>
    <mergeCell ref="AB90:AC90"/>
    <mergeCell ref="A89:K89"/>
    <mergeCell ref="L89:N89"/>
    <mergeCell ref="O89:Q89"/>
    <mergeCell ref="R89:S89"/>
    <mergeCell ref="T89:V89"/>
    <mergeCell ref="W89:AA89"/>
    <mergeCell ref="AB87:AC87"/>
    <mergeCell ref="A88:K88"/>
    <mergeCell ref="L88:N88"/>
    <mergeCell ref="O88:Q88"/>
    <mergeCell ref="R88:S88"/>
    <mergeCell ref="T88:V88"/>
    <mergeCell ref="W88:AA88"/>
    <mergeCell ref="AB88:AC88"/>
    <mergeCell ref="A87:K87"/>
    <mergeCell ref="L87:N87"/>
    <mergeCell ref="O87:Q87"/>
    <mergeCell ref="R87:S87"/>
    <mergeCell ref="T87:V87"/>
    <mergeCell ref="W87:AA87"/>
    <mergeCell ref="AB85:AC85"/>
    <mergeCell ref="A86:K86"/>
    <mergeCell ref="L86:N86"/>
    <mergeCell ref="O86:Q86"/>
    <mergeCell ref="R86:S86"/>
    <mergeCell ref="T86:V86"/>
    <mergeCell ref="W86:AA86"/>
    <mergeCell ref="AB86:AC86"/>
    <mergeCell ref="A85:K85"/>
    <mergeCell ref="L85:N85"/>
    <mergeCell ref="O85:Q85"/>
    <mergeCell ref="R85:S85"/>
    <mergeCell ref="T85:V85"/>
    <mergeCell ref="W85:AA85"/>
    <mergeCell ref="AB83:AC83"/>
    <mergeCell ref="A84:K84"/>
    <mergeCell ref="L84:N84"/>
    <mergeCell ref="O84:Q84"/>
    <mergeCell ref="R84:S84"/>
    <mergeCell ref="T84:V84"/>
    <mergeCell ref="W84:AA84"/>
    <mergeCell ref="AB84:AC84"/>
    <mergeCell ref="A83:K83"/>
    <mergeCell ref="L83:N83"/>
    <mergeCell ref="O83:Q83"/>
    <mergeCell ref="R83:S83"/>
    <mergeCell ref="T83:V83"/>
    <mergeCell ref="W83:AA83"/>
    <mergeCell ref="AB81:AC81"/>
    <mergeCell ref="A82:K82"/>
    <mergeCell ref="L82:N82"/>
    <mergeCell ref="O82:Q82"/>
    <mergeCell ref="R82:S82"/>
    <mergeCell ref="T82:V82"/>
    <mergeCell ref="W82:AA82"/>
    <mergeCell ref="AB82:AC82"/>
    <mergeCell ref="A81:K81"/>
    <mergeCell ref="L81:N81"/>
    <mergeCell ref="O81:Q81"/>
    <mergeCell ref="R81:S81"/>
    <mergeCell ref="T81:V81"/>
    <mergeCell ref="W81:AA81"/>
    <mergeCell ref="AB79:AC79"/>
    <mergeCell ref="A80:K80"/>
    <mergeCell ref="L80:N80"/>
    <mergeCell ref="O80:Q80"/>
    <mergeCell ref="R80:S80"/>
    <mergeCell ref="T80:V80"/>
    <mergeCell ref="W80:AA80"/>
    <mergeCell ref="AB80:AC80"/>
    <mergeCell ref="A79:K79"/>
    <mergeCell ref="L79:N79"/>
    <mergeCell ref="O79:Q79"/>
    <mergeCell ref="R79:S79"/>
    <mergeCell ref="T79:V79"/>
    <mergeCell ref="W79:AA79"/>
    <mergeCell ref="AB77:AC77"/>
    <mergeCell ref="A78:K78"/>
    <mergeCell ref="L78:N78"/>
    <mergeCell ref="O78:Q78"/>
    <mergeCell ref="R78:S78"/>
    <mergeCell ref="T78:V78"/>
    <mergeCell ref="W78:AA78"/>
    <mergeCell ref="AB78:AC78"/>
    <mergeCell ref="A77:K77"/>
    <mergeCell ref="L77:N77"/>
    <mergeCell ref="O77:Q77"/>
    <mergeCell ref="R77:S77"/>
    <mergeCell ref="T77:V77"/>
    <mergeCell ref="W77:AA77"/>
    <mergeCell ref="AB75:AC75"/>
    <mergeCell ref="A76:K76"/>
    <mergeCell ref="L76:N76"/>
    <mergeCell ref="O76:Q76"/>
    <mergeCell ref="R76:S76"/>
    <mergeCell ref="T76:V76"/>
    <mergeCell ref="W76:AA76"/>
    <mergeCell ref="AB76:AC76"/>
    <mergeCell ref="A75:K75"/>
    <mergeCell ref="L75:N75"/>
    <mergeCell ref="O75:Q75"/>
    <mergeCell ref="R75:S75"/>
    <mergeCell ref="T75:V75"/>
    <mergeCell ref="W75:AA75"/>
    <mergeCell ref="AB73:AC73"/>
    <mergeCell ref="A74:K74"/>
    <mergeCell ref="L74:N74"/>
    <mergeCell ref="O74:Q74"/>
    <mergeCell ref="R74:S74"/>
    <mergeCell ref="T74:V74"/>
    <mergeCell ref="W74:AA74"/>
    <mergeCell ref="AB74:AC74"/>
    <mergeCell ref="A73:K73"/>
    <mergeCell ref="L73:N73"/>
    <mergeCell ref="O73:Q73"/>
    <mergeCell ref="R73:S73"/>
    <mergeCell ref="T73:V73"/>
    <mergeCell ref="W73:AA73"/>
    <mergeCell ref="AB71:AC71"/>
    <mergeCell ref="A72:K72"/>
    <mergeCell ref="L72:N72"/>
    <mergeCell ref="O72:Q72"/>
    <mergeCell ref="R72:S72"/>
    <mergeCell ref="T72:V72"/>
    <mergeCell ref="W72:AA72"/>
    <mergeCell ref="AB72:AC72"/>
    <mergeCell ref="A71:K71"/>
    <mergeCell ref="L71:N71"/>
    <mergeCell ref="O71:Q71"/>
    <mergeCell ref="R71:S71"/>
    <mergeCell ref="T71:V71"/>
    <mergeCell ref="W71:AA71"/>
    <mergeCell ref="AB69:AC69"/>
    <mergeCell ref="A70:K70"/>
    <mergeCell ref="L70:N70"/>
    <mergeCell ref="O70:Q70"/>
    <mergeCell ref="R70:S70"/>
    <mergeCell ref="T70:V70"/>
    <mergeCell ref="W70:AA70"/>
    <mergeCell ref="AB70:AC70"/>
    <mergeCell ref="A69:K69"/>
    <mergeCell ref="L69:N69"/>
    <mergeCell ref="O69:Q69"/>
    <mergeCell ref="R69:S69"/>
    <mergeCell ref="T69:V69"/>
    <mergeCell ref="W69:AA69"/>
    <mergeCell ref="AB67:AC67"/>
    <mergeCell ref="A68:K68"/>
    <mergeCell ref="L68:N68"/>
    <mergeCell ref="O68:Q68"/>
    <mergeCell ref="R68:S68"/>
    <mergeCell ref="T68:V68"/>
    <mergeCell ref="W68:AA68"/>
    <mergeCell ref="AB68:AC68"/>
    <mergeCell ref="A67:K67"/>
    <mergeCell ref="L67:N67"/>
    <mergeCell ref="O67:Q67"/>
    <mergeCell ref="R67:S67"/>
    <mergeCell ref="T67:V67"/>
    <mergeCell ref="W67:AA67"/>
    <mergeCell ref="AB65:AC65"/>
    <mergeCell ref="A66:K66"/>
    <mergeCell ref="L66:N66"/>
    <mergeCell ref="O66:Q66"/>
    <mergeCell ref="R66:S66"/>
    <mergeCell ref="T66:V66"/>
    <mergeCell ref="W66:AA66"/>
    <mergeCell ref="AB66:AC66"/>
    <mergeCell ref="A65:K65"/>
    <mergeCell ref="L65:N65"/>
    <mergeCell ref="O65:Q65"/>
    <mergeCell ref="R65:S65"/>
    <mergeCell ref="T65:V65"/>
    <mergeCell ref="W65:AA65"/>
    <mergeCell ref="AB63:AC63"/>
    <mergeCell ref="A64:K64"/>
    <mergeCell ref="L64:N64"/>
    <mergeCell ref="O64:Q64"/>
    <mergeCell ref="R64:S64"/>
    <mergeCell ref="T64:V64"/>
    <mergeCell ref="W64:AA64"/>
    <mergeCell ref="AB64:AC64"/>
    <mergeCell ref="A63:K63"/>
    <mergeCell ref="L63:N63"/>
    <mergeCell ref="O63:Q63"/>
    <mergeCell ref="R63:S63"/>
    <mergeCell ref="T63:V63"/>
    <mergeCell ref="W63:AA63"/>
    <mergeCell ref="AB61:AC61"/>
    <mergeCell ref="A62:K62"/>
    <mergeCell ref="L62:N62"/>
    <mergeCell ref="O62:Q62"/>
    <mergeCell ref="R62:S62"/>
    <mergeCell ref="T62:V62"/>
    <mergeCell ref="W62:AA62"/>
    <mergeCell ref="AB62:AC62"/>
    <mergeCell ref="A61:K61"/>
    <mergeCell ref="L61:N61"/>
    <mergeCell ref="O61:Q61"/>
    <mergeCell ref="R61:S61"/>
    <mergeCell ref="T61:V61"/>
    <mergeCell ref="W61:AA61"/>
    <mergeCell ref="AB59:AC59"/>
    <mergeCell ref="A60:K60"/>
    <mergeCell ref="L60:N60"/>
    <mergeCell ref="O60:Q60"/>
    <mergeCell ref="R60:S60"/>
    <mergeCell ref="T60:V60"/>
    <mergeCell ref="W60:AA60"/>
    <mergeCell ref="AB60:AC60"/>
    <mergeCell ref="A59:K59"/>
    <mergeCell ref="L59:N59"/>
    <mergeCell ref="O59:Q59"/>
    <mergeCell ref="R59:S59"/>
    <mergeCell ref="T59:V59"/>
    <mergeCell ref="W59:AA59"/>
    <mergeCell ref="AB57:AC57"/>
    <mergeCell ref="A58:K58"/>
    <mergeCell ref="L58:N58"/>
    <mergeCell ref="O58:Q58"/>
    <mergeCell ref="R58:S58"/>
    <mergeCell ref="T58:V58"/>
    <mergeCell ref="W58:AA58"/>
    <mergeCell ref="AB58:AC58"/>
    <mergeCell ref="A57:K57"/>
    <mergeCell ref="L57:N57"/>
    <mergeCell ref="O57:Q57"/>
    <mergeCell ref="R57:S57"/>
    <mergeCell ref="T57:V57"/>
    <mergeCell ref="W57:AA57"/>
    <mergeCell ref="AB55:AC55"/>
    <mergeCell ref="A56:K56"/>
    <mergeCell ref="L56:N56"/>
    <mergeCell ref="O56:Q56"/>
    <mergeCell ref="R56:S56"/>
    <mergeCell ref="T56:V56"/>
    <mergeCell ref="W56:AA56"/>
    <mergeCell ref="AB56:AC56"/>
    <mergeCell ref="A55:K55"/>
    <mergeCell ref="L55:N55"/>
    <mergeCell ref="O55:Q55"/>
    <mergeCell ref="R55:S55"/>
    <mergeCell ref="T55:V55"/>
    <mergeCell ref="W55:AA55"/>
    <mergeCell ref="AB53:AC53"/>
    <mergeCell ref="A54:K54"/>
    <mergeCell ref="L54:N54"/>
    <mergeCell ref="O54:Q54"/>
    <mergeCell ref="R54:S54"/>
    <mergeCell ref="T54:V54"/>
    <mergeCell ref="W54:AA54"/>
    <mergeCell ref="AB54:AC54"/>
    <mergeCell ref="A53:K53"/>
    <mergeCell ref="L53:N53"/>
    <mergeCell ref="O53:Q53"/>
    <mergeCell ref="R53:S53"/>
    <mergeCell ref="T53:V53"/>
    <mergeCell ref="W53:AA53"/>
    <mergeCell ref="AB51:AC51"/>
    <mergeCell ref="A52:K52"/>
    <mergeCell ref="L52:N52"/>
    <mergeCell ref="O52:Q52"/>
    <mergeCell ref="R52:S52"/>
    <mergeCell ref="T52:V52"/>
    <mergeCell ref="W52:AA52"/>
    <mergeCell ref="AB52:AC52"/>
    <mergeCell ref="A51:K51"/>
    <mergeCell ref="L51:N51"/>
    <mergeCell ref="O51:Q51"/>
    <mergeCell ref="R51:S51"/>
    <mergeCell ref="T51:V51"/>
    <mergeCell ref="W51:AA51"/>
    <mergeCell ref="AB49:AC49"/>
    <mergeCell ref="A50:K50"/>
    <mergeCell ref="L50:N50"/>
    <mergeCell ref="O50:Q50"/>
    <mergeCell ref="R50:S50"/>
    <mergeCell ref="T50:V50"/>
    <mergeCell ref="W50:AA50"/>
    <mergeCell ref="AB50:AC50"/>
    <mergeCell ref="A49:K49"/>
    <mergeCell ref="L49:N49"/>
    <mergeCell ref="O49:Q49"/>
    <mergeCell ref="R49:S49"/>
    <mergeCell ref="T49:V49"/>
    <mergeCell ref="W49:AA49"/>
    <mergeCell ref="AB47:AC47"/>
    <mergeCell ref="A48:K48"/>
    <mergeCell ref="L48:N48"/>
    <mergeCell ref="O48:Q48"/>
    <mergeCell ref="R48:S48"/>
    <mergeCell ref="T48:V48"/>
    <mergeCell ref="W48:AA48"/>
    <mergeCell ref="AB48:AC48"/>
    <mergeCell ref="A47:K47"/>
    <mergeCell ref="L47:N47"/>
    <mergeCell ref="O47:Q47"/>
    <mergeCell ref="R47:S47"/>
    <mergeCell ref="T47:V47"/>
    <mergeCell ref="W47:AA47"/>
    <mergeCell ref="AB45:AC45"/>
    <mergeCell ref="A46:K46"/>
    <mergeCell ref="L46:N46"/>
    <mergeCell ref="O46:Q46"/>
    <mergeCell ref="R46:S46"/>
    <mergeCell ref="T46:V46"/>
    <mergeCell ref="W46:AA46"/>
    <mergeCell ref="AB46:AC46"/>
    <mergeCell ref="A45:K45"/>
    <mergeCell ref="L45:N45"/>
    <mergeCell ref="O45:Q45"/>
    <mergeCell ref="R45:S45"/>
    <mergeCell ref="T45:V45"/>
    <mergeCell ref="W45:AA45"/>
    <mergeCell ref="AB43:AC43"/>
    <mergeCell ref="A44:K44"/>
    <mergeCell ref="L44:N44"/>
    <mergeCell ref="O44:Q44"/>
    <mergeCell ref="R44:S44"/>
    <mergeCell ref="T44:V44"/>
    <mergeCell ref="W44:AA44"/>
    <mergeCell ref="AB44:AC44"/>
    <mergeCell ref="A43:K43"/>
    <mergeCell ref="L43:N43"/>
    <mergeCell ref="O43:Q43"/>
    <mergeCell ref="R43:S43"/>
    <mergeCell ref="T43:V43"/>
    <mergeCell ref="W43:AA43"/>
    <mergeCell ref="A40:AC40"/>
    <mergeCell ref="A41:AC41"/>
    <mergeCell ref="A42:K42"/>
    <mergeCell ref="L42:N42"/>
    <mergeCell ref="O42:Q42"/>
    <mergeCell ref="R42:S42"/>
    <mergeCell ref="T42:V42"/>
    <mergeCell ref="W42:AA42"/>
    <mergeCell ref="AB42:AC42"/>
    <mergeCell ref="A39:L39"/>
    <mergeCell ref="M39:O39"/>
    <mergeCell ref="P39:R39"/>
    <mergeCell ref="S39:U39"/>
    <mergeCell ref="V39:Z39"/>
    <mergeCell ref="AA39:AC39"/>
    <mergeCell ref="A38:L38"/>
    <mergeCell ref="M38:O38"/>
    <mergeCell ref="P38:R38"/>
    <mergeCell ref="S38:U38"/>
    <mergeCell ref="V38:Z38"/>
    <mergeCell ref="AA38:AC38"/>
    <mergeCell ref="A37:L37"/>
    <mergeCell ref="M37:O37"/>
    <mergeCell ref="P37:R37"/>
    <mergeCell ref="S37:U37"/>
    <mergeCell ref="V37:Z37"/>
    <mergeCell ref="AA37:AC37"/>
    <mergeCell ref="A36:L36"/>
    <mergeCell ref="M36:O36"/>
    <mergeCell ref="P36:R36"/>
    <mergeCell ref="S36:U36"/>
    <mergeCell ref="V36:Z36"/>
    <mergeCell ref="AA36:AC36"/>
    <mergeCell ref="A35:L35"/>
    <mergeCell ref="M35:O35"/>
    <mergeCell ref="P35:R35"/>
    <mergeCell ref="S35:U35"/>
    <mergeCell ref="V35:Z35"/>
    <mergeCell ref="AA35:AC35"/>
    <mergeCell ref="A34:L34"/>
    <mergeCell ref="M34:O34"/>
    <mergeCell ref="P34:R34"/>
    <mergeCell ref="S34:U34"/>
    <mergeCell ref="V34:Z34"/>
    <mergeCell ref="AA34:AC34"/>
    <mergeCell ref="A33:L33"/>
    <mergeCell ref="M33:O33"/>
    <mergeCell ref="P33:R33"/>
    <mergeCell ref="S33:U33"/>
    <mergeCell ref="V33:Z33"/>
    <mergeCell ref="AA33:AC33"/>
    <mergeCell ref="A32:L32"/>
    <mergeCell ref="M32:O32"/>
    <mergeCell ref="P32:R32"/>
    <mergeCell ref="S32:U32"/>
    <mergeCell ref="V32:Z32"/>
    <mergeCell ref="AA32:AC32"/>
    <mergeCell ref="A31:L31"/>
    <mergeCell ref="M31:O31"/>
    <mergeCell ref="P31:R31"/>
    <mergeCell ref="S31:U31"/>
    <mergeCell ref="V31:Z31"/>
    <mergeCell ref="AA31:AC31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0" max="255" man="1"/>
    <brk id="18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отдела ФЭД</dc:creator>
  <cp:keywords/>
  <dc:description/>
  <cp:lastModifiedBy>User</cp:lastModifiedBy>
  <dcterms:created xsi:type="dcterms:W3CDTF">2021-11-09T04:55:19Z</dcterms:created>
  <dcterms:modified xsi:type="dcterms:W3CDTF">2021-11-09T04:55:19Z</dcterms:modified>
  <cp:category/>
  <cp:version/>
  <cp:contentType/>
  <cp:contentStatus/>
</cp:coreProperties>
</file>