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<sst xmlns="http://schemas.openxmlformats.org/spreadsheetml/2006/main" count="1060" uniqueCount="298">
  <si>
    <t>ОТЧЕТ ОБ ИСПОЛНЕНИИ БЮДЖЕТА</t>
  </si>
  <si>
    <t>КОДЫ</t>
  </si>
  <si>
    <t xml:space="preserve">Форма по ОКУД </t>
  </si>
  <si>
    <t>0503117</t>
  </si>
  <si>
    <t>на 1 января 2021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</si>
  <si>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</si>
  <si>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</si>
  <si>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</si>
  <si>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</si>
  <si>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</si>
  <si>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</si>
  <si>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</si>
  <si>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</si>
  <si>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</si>
  <si>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</si>
  <si>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</si>
  <si>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</si>
  <si>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</si>
  <si>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</si>
  <si>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</si>
  <si>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</si>
  <si>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</si>
  <si>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</si>
  <si>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</si>
  <si>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</si>
  <si>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</si>
  <si>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</si>
  <si>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</si>
  <si>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</si>
  <si>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</si>
  <si>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</si>
  <si>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</si>
  <si>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</si>
  <si>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</si>
  <si>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</si>
  <si>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</si>
  <si>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</si>
  <si>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</si>
  <si>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</si>
  <si>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</si>
  <si>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</si>
  <si>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</si>
  <si>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</si>
  <si>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</si>
  <si>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</si>
  <si>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</si>
  <si>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</si>
  <si>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</si>
  <si>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</si>
  <si>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</si>
  <si>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</si>
  <si>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</si>
  <si>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</si>
  <si>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</si>
  <si>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</si>
  <si>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</si>
  <si>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</si>
  <si>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</si>
  <si>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</si>
  <si>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</si>
  <si>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</si>
  <si>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</si>
  <si>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</si>
  <si>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</si>
  <si>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</si>
  <si>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</si>
  <si>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</si>
  <si>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</si>
  <si>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</si>
  <si>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</si>
  <si>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</si>
  <si>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</si>
  <si>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</si>
  <si>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</si>
  <si>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</si>
  <si>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</si>
  <si>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</si>
  <si>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</si>
  <si>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</si>
  <si>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</si>
  <si>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</si>
  <si>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</si>
  <si>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</si>
  <si>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</si>
  <si>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</si>
  <si>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</si>
  <si>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</si>
  <si>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</si>
  <si>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</si>
  <si>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</si>
  <si>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</si>
  <si>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</si>
  <si>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</si>
  <si>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</si>
  <si>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</si>
  <si>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</si>
  <si>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</si>
  <si>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</si>
  <si>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</si>
  <si>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</si>
  <si>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</si>
  <si>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</si>
  <si>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</si>
  <si>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</si>
  <si>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</si>
  <si>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</si>
  <si>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</si>
  <si>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</si>
  <si>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</si>
  <si>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</si>
  <si>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</si>
  <si>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</si>
  <si>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</si>
  <si>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</si>
  <si>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</si>
  <si>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</si>
  <si>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</si>
  <si>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Увеличение стоимости лекарственных препаратов и материалов, применяемых в медицинских целях</t>
  </si>
  <si>
    <t>341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</si>
  <si>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</si>
  <si>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</si>
  <si>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</si>
  <si>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</si>
  <si>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</si>
  <si>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Работы, услуги по содержанию имущества</t>
  </si>
  <si>
    <t>650 0113 0911202400 244</t>
  </si>
  <si>
    <t>225</t>
  </si>
  <si>
    <t>650 0113 1013402400 244</t>
  </si>
  <si>
    <t>650 0113 1014202400 244</t>
  </si>
  <si>
    <t>650 0113 1014400590 244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</si>
  <si>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</si>
  <si>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</si>
  <si>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</si>
  <si>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</si>
  <si>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</si>
  <si>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</si>
  <si>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</si>
  <si>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Увеличение стоимости основных средств</t>
  </si>
  <si>
    <t>650 0113 1041300590 244</t>
  </si>
  <si>
    <t>310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</si>
  <si>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</si>
  <si>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</si>
  <si>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</si>
  <si>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</si>
  <si>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</si>
  <si>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</si>
  <si>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</si>
  <si>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</si>
  <si>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</si>
  <si>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</si>
  <si>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</si>
  <si>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</si>
  <si>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</si>
  <si>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</si>
  <si>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</si>
  <si>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</si>
  <si>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</si>
  <si>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650 0113 1041402400 242</t>
  </si>
  <si>
    <t>650 0113 1041402400 244</t>
  </si>
  <si>
    <t>Налоги, пошлины и сборы</t>
  </si>
  <si>
    <t>650 0113 1041402400 851</t>
  </si>
  <si>
    <t>291</t>
  </si>
  <si>
    <t>650 0113 1041402400 852</t>
  </si>
  <si>
    <t>Другие экономические санкции</t>
  </si>
  <si>
    <t>650 0113 6000002400 853</t>
  </si>
  <si>
    <t>295</t>
  </si>
  <si>
    <t>650 0113 600W058530 244</t>
  </si>
  <si>
    <t>650 0113 600W070990 244</t>
  </si>
  <si>
    <t>650 0113 600W079990 244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</si>
  <si>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</si>
  <si>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</si>
  <si>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</si>
  <si>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</si>
  <si>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</si>
  <si>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</si>
  <si>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</si>
  <si>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650 0309 1522300590 244</t>
  </si>
  <si>
    <t>650 0314 1042185060 123</t>
  </si>
  <si>
    <t>650 0314 1211500590 244</t>
  </si>
  <si>
    <t>650 0314 1212700590 244</t>
  </si>
  <si>
    <t>650 0314 1212702400 244</t>
  </si>
  <si>
    <t>650 0314 1221182300 123</t>
  </si>
  <si>
    <t>650 0314 1221182300 244</t>
  </si>
  <si>
    <t>650 0314 1221192300 123</t>
  </si>
  <si>
    <t>650 0314 12211S2300 123</t>
  </si>
  <si>
    <t>650 0314 12211S2300 244</t>
  </si>
  <si>
    <t>650 0401 1042175060 111</t>
  </si>
  <si>
    <t>650 0401 1042175060 119</t>
  </si>
  <si>
    <t>650 0401 1042185060 111</t>
  </si>
  <si>
    <t>650 0401 1042185060 119</t>
  </si>
  <si>
    <t>650 0401 1042195060 111</t>
  </si>
  <si>
    <t>650 0401 1042195060 119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</si>
  <si>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</si>
  <si>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</si>
  <si>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</si>
  <si>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</si>
  <si>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</si>
  <si>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</si>
  <si>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</si>
  <si>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</si>
  <si>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</si>
  <si>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</si>
  <si>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</si>
  <si>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</si>
  <si>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</si>
  <si>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650 0410 1014402400 242</t>
  </si>
  <si>
    <t>650 0410 1014402400 244</t>
  </si>
  <si>
    <t>650 0410 1041400590 242</t>
  </si>
  <si>
    <t>650 0410 1041402400 242</t>
  </si>
  <si>
    <t>650 0410 1041402400 244</t>
  </si>
  <si>
    <t>650 0501 1331102400 244</t>
  </si>
  <si>
    <t>650 0501 1341102400 244</t>
  </si>
  <si>
    <t>650 0501 1351102400 244</t>
  </si>
  <si>
    <t>650 0501 1351302400 244</t>
  </si>
  <si>
    <t>650 0502 1361182591 540</t>
  </si>
  <si>
    <t>650 0502 13611S2591 540</t>
  </si>
  <si>
    <t>650 0502 1361202400 244</t>
  </si>
  <si>
    <t>650 0503 1421102400 244</t>
  </si>
  <si>
    <t>650 0503 1421200590 244</t>
  </si>
  <si>
    <t>650 0503 1421600590 244</t>
  </si>
  <si>
    <t>650 0503 1431100590 244</t>
  </si>
  <si>
    <t>650 0503 1431170990 244</t>
  </si>
  <si>
    <t>650 0503 1431200590 244</t>
  </si>
  <si>
    <t>650 0503 1431300590 244</t>
  </si>
  <si>
    <t>650 0503 1431302400 244</t>
  </si>
  <si>
    <t>650 0503 1431370990 244</t>
  </si>
  <si>
    <t>650 0503 1431390990 244</t>
  </si>
  <si>
    <t>650 0503 1431400590 244</t>
  </si>
  <si>
    <t>650 0503 1431402400 244</t>
  </si>
  <si>
    <t>650 0503 1432200590 244</t>
  </si>
  <si>
    <t>650 0503 1432270990 244</t>
  </si>
  <si>
    <t>650 0503 144F255550 540</t>
  </si>
  <si>
    <t>650 0503 144F295550 540</t>
  </si>
  <si>
    <t>650 0505 1041202040 540</t>
  </si>
  <si>
    <t>650 0707 0913100540 540</t>
  </si>
  <si>
    <t>650 0707 0913170143 244</t>
  </si>
  <si>
    <t>650 0707 1042185060 111</t>
  </si>
  <si>
    <t>650 0707 1042185060 119</t>
  </si>
  <si>
    <t>650 0801 0911200590 244</t>
  </si>
  <si>
    <t>650 0801 0911270060 244</t>
  </si>
  <si>
    <t>650 0801 0911270090 244</t>
  </si>
  <si>
    <t>650 0801 0911300590 242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</si>
  <si>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</si>
  <si>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</si>
  <si>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</si>
  <si>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</si>
  <si>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</si>
  <si>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</si>
  <si>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</si>
  <si>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</si>
  <si>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</si>
  <si>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</si>
  <si>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</si>
  <si>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650 0801 0913100590 851</t>
  </si>
  <si>
    <t>650 0801 0913272580 111</t>
  </si>
  <si>
    <t>650 0801 0913272580 119</t>
  </si>
  <si>
    <t>650 0801 0921100590 112</t>
  </si>
  <si>
    <t>650 0801 0921100590 244</t>
  </si>
  <si>
    <t>650 0801 0921300590 244</t>
  </si>
  <si>
    <t>Увеличение стоимости материальных запасов для целей капитальных вложений</t>
  </si>
  <si>
    <t>347</t>
  </si>
  <si>
    <t>650 0801 0921370050 244</t>
  </si>
  <si>
    <t>Увеличение стоимости продуктов питания</t>
  </si>
  <si>
    <t>342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</si>
  <si>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</si>
  <si>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</si>
  <si>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</si>
  <si>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</si>
  <si>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</si>
  <si>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</si>
  <si>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</si>
  <si>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</si>
  <si>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</si>
  <si>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</si>
  <si>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</si>
  <si>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</si>
  <si>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</si>
  <si>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</si>
  <si>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</si>
  <si>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</si>
  <si>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</si>
  <si>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</si>
  <si>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</si>
  <si>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</si>
  <si>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</si>
  <si>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</si>
  <si>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</si>
  <si>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</si>
  <si>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</si>
  <si>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</si>
  <si>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</si>
  <si>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</si>
  <si>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</si>
  <si>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</si>
  <si>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</si>
  <si>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</si>
  <si>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4 марта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</si>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</sst>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55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44197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58217212.64</f>
        <v>58217212.64</v>
      </c>
      <c r="T12" s="21"/>
      <c r="U12" s="21"/>
      <c r="V12" s="21">
        <f>58254923.07</f>
        <v>58254923.07</v>
      </c>
      <c r="W12" s="21"/>
      <c r="X12" s="21"/>
      <c r="Y12" s="21"/>
      <c r="Z12" s="21"/>
      <c r="AA12" s="22" t="s">
        <v>37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39</v>
      </c>
      <c r="Q13" s="24"/>
      <c r="R13" s="24"/>
      <c r="S13" s="25">
        <f>428666.29</f>
        <v>428666.29</v>
      </c>
      <c r="T13" s="25"/>
      <c r="U13" s="25"/>
      <c r="V13" s="25">
        <f>458979.88</f>
        <v>458979.88</v>
      </c>
      <c r="W13" s="25"/>
      <c r="X13" s="25"/>
      <c r="Y13" s="25"/>
      <c r="Z13" s="25"/>
      <c r="AA13" s="26" t="s">
        <v>37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198000</f>
        <v>198000</v>
      </c>
      <c r="T14" s="25"/>
      <c r="U14" s="25"/>
      <c r="V14" s="25">
        <f>197578.47</f>
        <v>197578.47</v>
      </c>
      <c r="W14" s="25"/>
      <c r="X14" s="25"/>
      <c r="Y14" s="25"/>
      <c r="Z14" s="25"/>
      <c r="AA14" s="27">
        <f>421.53</f>
        <v>421.53</v>
      </c>
      <c r="AB14" s="27"/>
      <c r="AC14" s="27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1988100</f>
        <v>1988100</v>
      </c>
      <c r="T15" s="25"/>
      <c r="U15" s="25"/>
      <c r="V15" s="25">
        <f>1917011.17</f>
        <v>1917011.17</v>
      </c>
      <c r="W15" s="25"/>
      <c r="X15" s="25"/>
      <c r="Y15" s="25"/>
      <c r="Z15" s="25"/>
      <c r="AA15" s="27">
        <f>71088.83</f>
        <v>71088.83</v>
      </c>
      <c r="AB15" s="27"/>
      <c r="AC15" s="27"/>
    </row>
    <row r="16" spans="1:29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12480</f>
        <v>12480</v>
      </c>
      <c r="T16" s="25"/>
      <c r="U16" s="25"/>
      <c r="V16" s="25">
        <f>13711.85</f>
        <v>13711.85</v>
      </c>
      <c r="W16" s="25"/>
      <c r="X16" s="25"/>
      <c r="Y16" s="25"/>
      <c r="Z16" s="25"/>
      <c r="AA16" s="26" t="s">
        <v>37</v>
      </c>
      <c r="AB16" s="26"/>
      <c r="AC16" s="26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2565510</f>
        <v>2565510</v>
      </c>
      <c r="T17" s="25"/>
      <c r="U17" s="25"/>
      <c r="V17" s="25">
        <f>2578918.63</f>
        <v>2578918.63</v>
      </c>
      <c r="W17" s="25"/>
      <c r="X17" s="25"/>
      <c r="Y17" s="25"/>
      <c r="Z17" s="25"/>
      <c r="AA17" s="26" t="s">
        <v>37</v>
      </c>
      <c r="AB17" s="26"/>
      <c r="AC17" s="26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-332240</f>
        <v>-332240</v>
      </c>
      <c r="T18" s="25"/>
      <c r="U18" s="25"/>
      <c r="V18" s="25">
        <f>-353409.49</f>
        <v>-353409.49</v>
      </c>
      <c r="W18" s="25"/>
      <c r="X18" s="25"/>
      <c r="Y18" s="25"/>
      <c r="Z18" s="25"/>
      <c r="AA18" s="26" t="s">
        <v>37</v>
      </c>
      <c r="AB18" s="26"/>
      <c r="AC18" s="26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5242918.77</f>
        <v>5242918.77</v>
      </c>
      <c r="T19" s="25"/>
      <c r="U19" s="25"/>
      <c r="V19" s="25">
        <f>5373178.47</f>
        <v>5373178.47</v>
      </c>
      <c r="W19" s="25"/>
      <c r="X19" s="25"/>
      <c r="Y19" s="25"/>
      <c r="Z19" s="25"/>
      <c r="AA19" s="26" t="s">
        <v>37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60000</f>
        <v>60000</v>
      </c>
      <c r="T20" s="25"/>
      <c r="U20" s="25"/>
      <c r="V20" s="25">
        <f>46813.53</f>
        <v>46813.53</v>
      </c>
      <c r="W20" s="25"/>
      <c r="X20" s="25"/>
      <c r="Y20" s="25"/>
      <c r="Z20" s="25"/>
      <c r="AA20" s="27">
        <f>13186.47</f>
        <v>13186.47</v>
      </c>
      <c r="AB20" s="27"/>
      <c r="AC20" s="27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342000</f>
        <v>342000</v>
      </c>
      <c r="T21" s="25"/>
      <c r="U21" s="25"/>
      <c r="V21" s="25">
        <f>340011.44</f>
        <v>340011.44</v>
      </c>
      <c r="W21" s="25"/>
      <c r="X21" s="25"/>
      <c r="Y21" s="25"/>
      <c r="Z21" s="25"/>
      <c r="AA21" s="27">
        <f>1988.56</f>
        <v>1988.56</v>
      </c>
      <c r="AB21" s="27"/>
      <c r="AC21" s="27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9017.94</f>
        <v>9017.94</v>
      </c>
      <c r="T22" s="25"/>
      <c r="U22" s="25"/>
      <c r="V22" s="25">
        <f>9017.94</f>
        <v>9017.94</v>
      </c>
      <c r="W22" s="25"/>
      <c r="X22" s="25"/>
      <c r="Y22" s="25"/>
      <c r="Z22" s="25"/>
      <c r="AA22" s="27">
        <f>0</f>
        <v>0</v>
      </c>
      <c r="AB22" s="27"/>
      <c r="AC22" s="27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225000</f>
        <v>225000</v>
      </c>
      <c r="T23" s="25"/>
      <c r="U23" s="25"/>
      <c r="V23" s="25">
        <f>230816.52</f>
        <v>230816.52</v>
      </c>
      <c r="W23" s="25"/>
      <c r="X23" s="25"/>
      <c r="Y23" s="25"/>
      <c r="Z23" s="25"/>
      <c r="AA23" s="26" t="s">
        <v>37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5615.67</f>
        <v>5615.67</v>
      </c>
      <c r="T24" s="25"/>
      <c r="U24" s="25"/>
      <c r="V24" s="25">
        <f>6227.51</f>
        <v>6227.51</v>
      </c>
      <c r="W24" s="25"/>
      <c r="X24" s="25"/>
      <c r="Y24" s="25"/>
      <c r="Z24" s="25"/>
      <c r="AA24" s="26" t="s">
        <v>37</v>
      </c>
      <c r="AB24" s="26"/>
      <c r="AC24" s="26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31762.94</f>
        <v>31762.94</v>
      </c>
      <c r="W25" s="25"/>
      <c r="X25" s="25"/>
      <c r="Y25" s="25"/>
      <c r="Z25" s="25"/>
      <c r="AA25" s="26" t="s">
        <v>37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450000</f>
        <v>450000</v>
      </c>
      <c r="T26" s="25"/>
      <c r="U26" s="25"/>
      <c r="V26" s="25">
        <f>417812.13</f>
        <v>417812.13</v>
      </c>
      <c r="W26" s="25"/>
      <c r="X26" s="25"/>
      <c r="Y26" s="25"/>
      <c r="Z26" s="25"/>
      <c r="AA26" s="27">
        <f>32187.87</f>
        <v>32187.87</v>
      </c>
      <c r="AB26" s="27"/>
      <c r="AC26" s="27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160000</f>
        <v>160000</v>
      </c>
      <c r="T27" s="25"/>
      <c r="U27" s="25"/>
      <c r="V27" s="25">
        <f>136558.53</f>
        <v>136558.53</v>
      </c>
      <c r="W27" s="25"/>
      <c r="X27" s="25"/>
      <c r="Y27" s="25"/>
      <c r="Z27" s="25"/>
      <c r="AA27" s="27">
        <f>23441.47</f>
        <v>23441.47</v>
      </c>
      <c r="AB27" s="27"/>
      <c r="AC27" s="27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45000</f>
        <v>45000</v>
      </c>
      <c r="T28" s="25"/>
      <c r="U28" s="25"/>
      <c r="V28" s="25">
        <f>44970</f>
        <v>44970</v>
      </c>
      <c r="W28" s="25"/>
      <c r="X28" s="25"/>
      <c r="Y28" s="25"/>
      <c r="Z28" s="25"/>
      <c r="AA28" s="27">
        <f>30</f>
        <v>30</v>
      </c>
      <c r="AB28" s="27"/>
      <c r="AC28" s="27"/>
    </row>
    <row r="29" spans="1:29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130122.57</f>
        <v>130122.57</v>
      </c>
      <c r="T29" s="25"/>
      <c r="U29" s="25"/>
      <c r="V29" s="25">
        <f>130122.57</f>
        <v>130122.57</v>
      </c>
      <c r="W29" s="25"/>
      <c r="X29" s="25"/>
      <c r="Y29" s="25"/>
      <c r="Z29" s="25"/>
      <c r="AA29" s="27">
        <f>0</f>
        <v>0</v>
      </c>
      <c r="AB29" s="27"/>
      <c r="AC29" s="27"/>
    </row>
    <row r="30" spans="1:29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752984.93</f>
        <v>752984.93</v>
      </c>
      <c r="T30" s="25"/>
      <c r="U30" s="25"/>
      <c r="V30" s="25">
        <f>771564.54</f>
        <v>771564.54</v>
      </c>
      <c r="W30" s="25"/>
      <c r="X30" s="25"/>
      <c r="Y30" s="25"/>
      <c r="Z30" s="25"/>
      <c r="AA30" s="26" t="s">
        <v>37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163110</f>
        <v>163110</v>
      </c>
      <c r="T31" s="25"/>
      <c r="U31" s="25"/>
      <c r="V31" s="25">
        <f>163110</f>
        <v>163110</v>
      </c>
      <c r="W31" s="25"/>
      <c r="X31" s="25"/>
      <c r="Y31" s="25"/>
      <c r="Z31" s="25"/>
      <c r="AA31" s="27">
        <f>0</f>
        <v>0</v>
      </c>
      <c r="AB31" s="27"/>
      <c r="AC31" s="27"/>
    </row>
    <row r="32" spans="1:29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8" t="s">
        <v>37</v>
      </c>
      <c r="T32" s="28"/>
      <c r="U32" s="28"/>
      <c r="V32" s="25">
        <f>0</f>
        <v>0</v>
      </c>
      <c r="W32" s="25"/>
      <c r="X32" s="25"/>
      <c r="Y32" s="25"/>
      <c r="Z32" s="25"/>
      <c r="AA32" s="26" t="s">
        <v>37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26889800</f>
        <v>26889800</v>
      </c>
      <c r="T33" s="25"/>
      <c r="U33" s="25"/>
      <c r="V33" s="25">
        <f>26889800</f>
        <v>26889800</v>
      </c>
      <c r="W33" s="25"/>
      <c r="X33" s="25"/>
      <c r="Y33" s="25"/>
      <c r="Z33" s="25"/>
      <c r="AA33" s="27">
        <f aca="true" t="shared" si="0" ref="AA33:AA38">0</f>
        <v>0</v>
      </c>
      <c r="AB33" s="27"/>
      <c r="AC33" s="27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3181956</f>
        <v>3181956</v>
      </c>
      <c r="T34" s="25"/>
      <c r="U34" s="25"/>
      <c r="V34" s="25">
        <f>3181956</f>
        <v>3181956</v>
      </c>
      <c r="W34" s="25"/>
      <c r="X34" s="25"/>
      <c r="Y34" s="25"/>
      <c r="Z34" s="25"/>
      <c r="AA34" s="27">
        <f t="shared" si="0"/>
        <v>0</v>
      </c>
      <c r="AB34" s="27"/>
      <c r="AC34" s="27"/>
    </row>
    <row r="35" spans="1:29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313600</f>
        <v>313600</v>
      </c>
      <c r="T35" s="25"/>
      <c r="U35" s="25"/>
      <c r="V35" s="25">
        <f>313600</f>
        <v>313600</v>
      </c>
      <c r="W35" s="25"/>
      <c r="X35" s="25"/>
      <c r="Y35" s="25"/>
      <c r="Z35" s="25"/>
      <c r="AA35" s="27">
        <f t="shared" si="0"/>
        <v>0</v>
      </c>
      <c r="AB35" s="27"/>
      <c r="AC35" s="27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14237.61</f>
        <v>14237.61</v>
      </c>
      <c r="T36" s="25"/>
      <c r="U36" s="25"/>
      <c r="V36" s="25">
        <f>14237.61</f>
        <v>14237.61</v>
      </c>
      <c r="W36" s="25"/>
      <c r="X36" s="25"/>
      <c r="Y36" s="25"/>
      <c r="Z36" s="25"/>
      <c r="AA36" s="27">
        <f t="shared" si="0"/>
        <v>0</v>
      </c>
      <c r="AB36" s="27"/>
      <c r="AC36" s="27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465371.43</f>
        <v>465371.43</v>
      </c>
      <c r="T37" s="25"/>
      <c r="U37" s="25"/>
      <c r="V37" s="25">
        <f>465371.43</f>
        <v>465371.43</v>
      </c>
      <c r="W37" s="25"/>
      <c r="X37" s="25"/>
      <c r="Y37" s="25"/>
      <c r="Z37" s="25"/>
      <c r="AA37" s="27">
        <f t="shared" si="0"/>
        <v>0</v>
      </c>
      <c r="AB37" s="27"/>
      <c r="AC37" s="27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89493.39</f>
        <v>89493.39</v>
      </c>
      <c r="T38" s="25"/>
      <c r="U38" s="25"/>
      <c r="V38" s="25">
        <f>89493.39</f>
        <v>89493.39</v>
      </c>
      <c r="W38" s="25"/>
      <c r="X38" s="25"/>
      <c r="Y38" s="25"/>
      <c r="Z38" s="25"/>
      <c r="AA38" s="27">
        <f t="shared" si="0"/>
        <v>0</v>
      </c>
      <c r="AB38" s="27"/>
      <c r="AC38" s="27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14785708.04</f>
        <v>14785708.04</v>
      </c>
      <c r="T39" s="25"/>
      <c r="U39" s="25"/>
      <c r="V39" s="25">
        <f>14785708.01</f>
        <v>14785708.01</v>
      </c>
      <c r="W39" s="25"/>
      <c r="X39" s="25"/>
      <c r="Y39" s="25"/>
      <c r="Z39" s="25"/>
      <c r="AA39" s="27">
        <f>0.03</f>
        <v>0.03</v>
      </c>
      <c r="AB39" s="27"/>
      <c r="AC39" s="27"/>
    </row>
    <row r="40" spans="1:29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93</v>
      </c>
      <c r="P42" s="13"/>
      <c r="Q42" s="13"/>
      <c r="R42" s="14" t="s">
        <v>94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95</v>
      </c>
      <c r="AC43" s="18"/>
    </row>
    <row r="44" spans="1:29" s="1" customFormat="1" ht="13.5" customHeight="1">
      <c r="A44" s="19" t="s">
        <v>96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97</v>
      </c>
      <c r="M44" s="20"/>
      <c r="N44" s="20"/>
      <c r="O44" s="20" t="s">
        <v>36</v>
      </c>
      <c r="P44" s="20"/>
      <c r="Q44" s="20"/>
      <c r="R44" s="30" t="s">
        <v>36</v>
      </c>
      <c r="S44" s="30"/>
      <c r="T44" s="21">
        <f>61548152.6</f>
        <v>61548152.6</v>
      </c>
      <c r="U44" s="21"/>
      <c r="V44" s="21"/>
      <c r="W44" s="21">
        <f>58867760.67</f>
        <v>58867760.67</v>
      </c>
      <c r="X44" s="21"/>
      <c r="Y44" s="21"/>
      <c r="Z44" s="21"/>
      <c r="AA44" s="21"/>
      <c r="AB44" s="31">
        <f>2680391.93</f>
        <v>2680391.93</v>
      </c>
      <c r="AC44" s="31"/>
    </row>
    <row r="45" spans="1:29" s="1" customFormat="1" ht="13.5" customHeight="1">
      <c r="A45" s="32" t="s">
        <v>98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 t="s">
        <v>97</v>
      </c>
      <c r="M45" s="33"/>
      <c r="N45" s="33"/>
      <c r="O45" s="33" t="s">
        <v>99</v>
      </c>
      <c r="P45" s="33"/>
      <c r="Q45" s="33"/>
      <c r="R45" s="34" t="s">
        <v>100</v>
      </c>
      <c r="S45" s="34"/>
      <c r="T45" s="35">
        <f>1422913.8</f>
        <v>1422913.8</v>
      </c>
      <c r="U45" s="35"/>
      <c r="V45" s="35"/>
      <c r="W45" s="35">
        <f>1422913.5</f>
        <v>1422913.5</v>
      </c>
      <c r="X45" s="35"/>
      <c r="Y45" s="35"/>
      <c r="Z45" s="35"/>
      <c r="AA45" s="35"/>
      <c r="AB45" s="36">
        <f>0.3</f>
        <v>0.3</v>
      </c>
      <c r="AC45" s="36"/>
    </row>
    <row r="46" spans="1:29" s="1" customFormat="1" ht="13.5" customHeight="1">
      <c r="A46" s="32" t="s">
        <v>101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 t="s">
        <v>97</v>
      </c>
      <c r="M46" s="33"/>
      <c r="N46" s="33"/>
      <c r="O46" s="33" t="s">
        <v>102</v>
      </c>
      <c r="P46" s="33"/>
      <c r="Q46" s="33"/>
      <c r="R46" s="34" t="s">
        <v>103</v>
      </c>
      <c r="S46" s="34"/>
      <c r="T46" s="35">
        <f>398830.25</f>
        <v>398830.25</v>
      </c>
      <c r="U46" s="35"/>
      <c r="V46" s="35"/>
      <c r="W46" s="35">
        <f>398830.05</f>
        <v>398830.05</v>
      </c>
      <c r="X46" s="35"/>
      <c r="Y46" s="35"/>
      <c r="Z46" s="35"/>
      <c r="AA46" s="35"/>
      <c r="AB46" s="36">
        <f>0.2</f>
        <v>0.2</v>
      </c>
      <c r="AC46" s="36"/>
    </row>
    <row r="47" spans="1:29" s="1" customFormat="1" ht="13.5" customHeight="1">
      <c r="A47" s="32" t="s">
        <v>98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 t="s">
        <v>97</v>
      </c>
      <c r="M47" s="33"/>
      <c r="N47" s="33"/>
      <c r="O47" s="33" t="s">
        <v>104</v>
      </c>
      <c r="P47" s="33"/>
      <c r="Q47" s="33"/>
      <c r="R47" s="34" t="s">
        <v>100</v>
      </c>
      <c r="S47" s="34"/>
      <c r="T47" s="35">
        <f>7200000</f>
        <v>7200000</v>
      </c>
      <c r="U47" s="35"/>
      <c r="V47" s="35"/>
      <c r="W47" s="35">
        <f>6953535.84</f>
        <v>6953535.84</v>
      </c>
      <c r="X47" s="35"/>
      <c r="Y47" s="35"/>
      <c r="Z47" s="35"/>
      <c r="AA47" s="35"/>
      <c r="AB47" s="36">
        <f>246464.16</f>
        <v>246464.16</v>
      </c>
      <c r="AC47" s="36"/>
    </row>
    <row r="48" spans="1:29" s="1" customFormat="1" ht="13.5" customHeight="1">
      <c r="A48" s="32" t="s">
        <v>105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 t="s">
        <v>97</v>
      </c>
      <c r="M48" s="33"/>
      <c r="N48" s="33"/>
      <c r="O48" s="33" t="s">
        <v>104</v>
      </c>
      <c r="P48" s="33"/>
      <c r="Q48" s="33"/>
      <c r="R48" s="34" t="s">
        <v>106</v>
      </c>
      <c r="S48" s="34"/>
      <c r="T48" s="35">
        <f>17054.55</f>
        <v>17054.55</v>
      </c>
      <c r="U48" s="35"/>
      <c r="V48" s="35"/>
      <c r="W48" s="35">
        <f>17054.55</f>
        <v>17054.55</v>
      </c>
      <c r="X48" s="35"/>
      <c r="Y48" s="35"/>
      <c r="Z48" s="35"/>
      <c r="AA48" s="35"/>
      <c r="AB48" s="36">
        <f>0</f>
        <v>0</v>
      </c>
      <c r="AC48" s="36"/>
    </row>
    <row r="49" spans="1:29" s="1" customFormat="1" ht="13.5" customHeight="1">
      <c r="A49" s="32" t="s">
        <v>107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 t="s">
        <v>97</v>
      </c>
      <c r="M49" s="33"/>
      <c r="N49" s="33"/>
      <c r="O49" s="33" t="s">
        <v>108</v>
      </c>
      <c r="P49" s="33"/>
      <c r="Q49" s="33"/>
      <c r="R49" s="34" t="s">
        <v>109</v>
      </c>
      <c r="S49" s="34"/>
      <c r="T49" s="35">
        <f>3000</f>
        <v>3000</v>
      </c>
      <c r="U49" s="35"/>
      <c r="V49" s="35"/>
      <c r="W49" s="35">
        <f>3000</f>
        <v>3000</v>
      </c>
      <c r="X49" s="35"/>
      <c r="Y49" s="35"/>
      <c r="Z49" s="35"/>
      <c r="AA49" s="35"/>
      <c r="AB49" s="36">
        <f>0</f>
        <v>0</v>
      </c>
      <c r="AC49" s="36"/>
    </row>
    <row r="50" spans="1:29" s="1" customFormat="1" ht="13.5" customHeight="1">
      <c r="A50" s="32" t="s">
        <v>110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 t="s">
        <v>97</v>
      </c>
      <c r="M50" s="33"/>
      <c r="N50" s="33"/>
      <c r="O50" s="33" t="s">
        <v>108</v>
      </c>
      <c r="P50" s="33"/>
      <c r="Q50" s="33"/>
      <c r="R50" s="34" t="s">
        <v>111</v>
      </c>
      <c r="S50" s="34"/>
      <c r="T50" s="35">
        <f>18220.25</f>
        <v>18220.25</v>
      </c>
      <c r="U50" s="35"/>
      <c r="V50" s="35"/>
      <c r="W50" s="35">
        <f>18220.25</f>
        <v>18220.25</v>
      </c>
      <c r="X50" s="35"/>
      <c r="Y50" s="35"/>
      <c r="Z50" s="35"/>
      <c r="AA50" s="35"/>
      <c r="AB50" s="36">
        <f>0</f>
        <v>0</v>
      </c>
      <c r="AC50" s="36"/>
    </row>
    <row r="51" spans="1:29" s="1" customFormat="1" ht="13.5" customHeight="1">
      <c r="A51" s="32" t="s">
        <v>112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 t="s">
        <v>97</v>
      </c>
      <c r="M51" s="33"/>
      <c r="N51" s="33"/>
      <c r="O51" s="33" t="s">
        <v>108</v>
      </c>
      <c r="P51" s="33"/>
      <c r="Q51" s="33"/>
      <c r="R51" s="34" t="s">
        <v>113</v>
      </c>
      <c r="S51" s="34"/>
      <c r="T51" s="35">
        <f>2893.3</f>
        <v>2893.3</v>
      </c>
      <c r="U51" s="35"/>
      <c r="V51" s="35"/>
      <c r="W51" s="35">
        <f>2893.3</f>
        <v>2893.3</v>
      </c>
      <c r="X51" s="35"/>
      <c r="Y51" s="35"/>
      <c r="Z51" s="35"/>
      <c r="AA51" s="35"/>
      <c r="AB51" s="36">
        <f>0</f>
        <v>0</v>
      </c>
      <c r="AC51" s="36"/>
    </row>
    <row r="52" spans="1:29" s="1" customFormat="1" ht="13.5" customHeight="1">
      <c r="A52" s="32" t="s">
        <v>114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 t="s">
        <v>97</v>
      </c>
      <c r="M52" s="33"/>
      <c r="N52" s="33"/>
      <c r="O52" s="33" t="s">
        <v>108</v>
      </c>
      <c r="P52" s="33"/>
      <c r="Q52" s="33"/>
      <c r="R52" s="34" t="s">
        <v>115</v>
      </c>
      <c r="S52" s="34"/>
      <c r="T52" s="35">
        <f>95678</f>
        <v>95678</v>
      </c>
      <c r="U52" s="35"/>
      <c r="V52" s="35"/>
      <c r="W52" s="35">
        <f>95678</f>
        <v>95678</v>
      </c>
      <c r="X52" s="35"/>
      <c r="Y52" s="35"/>
      <c r="Z52" s="35"/>
      <c r="AA52" s="35"/>
      <c r="AB52" s="36">
        <f>0</f>
        <v>0</v>
      </c>
      <c r="AC52" s="36"/>
    </row>
    <row r="53" spans="1:29" s="1" customFormat="1" ht="13.5" customHeight="1">
      <c r="A53" s="32" t="s">
        <v>101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 t="s">
        <v>97</v>
      </c>
      <c r="M53" s="33"/>
      <c r="N53" s="33"/>
      <c r="O53" s="33" t="s">
        <v>116</v>
      </c>
      <c r="P53" s="33"/>
      <c r="Q53" s="33"/>
      <c r="R53" s="34" t="s">
        <v>103</v>
      </c>
      <c r="S53" s="34"/>
      <c r="T53" s="35">
        <f>2150000</f>
        <v>2150000</v>
      </c>
      <c r="U53" s="35"/>
      <c r="V53" s="35"/>
      <c r="W53" s="35">
        <f>1980577.59</f>
        <v>1980577.59</v>
      </c>
      <c r="X53" s="35"/>
      <c r="Y53" s="35"/>
      <c r="Z53" s="35"/>
      <c r="AA53" s="35"/>
      <c r="AB53" s="36">
        <f>169422.41</f>
        <v>169422.41</v>
      </c>
      <c r="AC53" s="36"/>
    </row>
    <row r="54" spans="1:29" s="1" customFormat="1" ht="24" customHeight="1">
      <c r="A54" s="32" t="s">
        <v>117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 t="s">
        <v>97</v>
      </c>
      <c r="M54" s="33"/>
      <c r="N54" s="33"/>
      <c r="O54" s="33" t="s">
        <v>116</v>
      </c>
      <c r="P54" s="33"/>
      <c r="Q54" s="33"/>
      <c r="R54" s="34" t="s">
        <v>118</v>
      </c>
      <c r="S54" s="34"/>
      <c r="T54" s="35">
        <f>4042</f>
        <v>4042</v>
      </c>
      <c r="U54" s="35"/>
      <c r="V54" s="35"/>
      <c r="W54" s="35">
        <f>4042</f>
        <v>4042</v>
      </c>
      <c r="X54" s="35"/>
      <c r="Y54" s="35"/>
      <c r="Z54" s="35"/>
      <c r="AA54" s="35"/>
      <c r="AB54" s="36">
        <f>0</f>
        <v>0</v>
      </c>
      <c r="AC54" s="36"/>
    </row>
    <row r="55" spans="1:29" s="1" customFormat="1" ht="13.5" customHeight="1">
      <c r="A55" s="32" t="s">
        <v>119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 t="s">
        <v>97</v>
      </c>
      <c r="M55" s="33"/>
      <c r="N55" s="33"/>
      <c r="O55" s="33" t="s">
        <v>120</v>
      </c>
      <c r="P55" s="33"/>
      <c r="Q55" s="33"/>
      <c r="R55" s="34" t="s">
        <v>121</v>
      </c>
      <c r="S55" s="34"/>
      <c r="T55" s="35">
        <f>258309</f>
        <v>258309</v>
      </c>
      <c r="U55" s="35"/>
      <c r="V55" s="35"/>
      <c r="W55" s="35">
        <f>258309</f>
        <v>258309</v>
      </c>
      <c r="X55" s="35"/>
      <c r="Y55" s="35"/>
      <c r="Z55" s="35"/>
      <c r="AA55" s="35"/>
      <c r="AB55" s="36">
        <f>0</f>
        <v>0</v>
      </c>
      <c r="AC55" s="36"/>
    </row>
    <row r="56" spans="1:29" s="1" customFormat="1" ht="13.5" customHeight="1">
      <c r="A56" s="32" t="s">
        <v>122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 t="s">
        <v>97</v>
      </c>
      <c r="M56" s="33"/>
      <c r="N56" s="33"/>
      <c r="O56" s="33" t="s">
        <v>123</v>
      </c>
      <c r="P56" s="33"/>
      <c r="Q56" s="33"/>
      <c r="R56" s="34" t="s">
        <v>97</v>
      </c>
      <c r="S56" s="34"/>
      <c r="T56" s="35">
        <f>0</f>
        <v>0</v>
      </c>
      <c r="U56" s="35"/>
      <c r="V56" s="35"/>
      <c r="W56" s="37" t="s">
        <v>37</v>
      </c>
      <c r="X56" s="37"/>
      <c r="Y56" s="37"/>
      <c r="Z56" s="37"/>
      <c r="AA56" s="37"/>
      <c r="AB56" s="38" t="s">
        <v>37</v>
      </c>
      <c r="AC56" s="38"/>
    </row>
    <row r="57" spans="1:29" s="1" customFormat="1" ht="13.5" customHeight="1">
      <c r="A57" s="32" t="s">
        <v>124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 t="s">
        <v>97</v>
      </c>
      <c r="M57" s="33"/>
      <c r="N57" s="33"/>
      <c r="O57" s="33" t="s">
        <v>125</v>
      </c>
      <c r="P57" s="33"/>
      <c r="Q57" s="33"/>
      <c r="R57" s="34" t="s">
        <v>126</v>
      </c>
      <c r="S57" s="34"/>
      <c r="T57" s="35">
        <f>1943379.19</f>
        <v>1943379.19</v>
      </c>
      <c r="U57" s="35"/>
      <c r="V57" s="35"/>
      <c r="W57" s="35">
        <f>1943379.19</f>
        <v>1943379.19</v>
      </c>
      <c r="X57" s="35"/>
      <c r="Y57" s="35"/>
      <c r="Z57" s="35"/>
      <c r="AA57" s="35"/>
      <c r="AB57" s="36">
        <f>0</f>
        <v>0</v>
      </c>
      <c r="AC57" s="36"/>
    </row>
    <row r="58" spans="1:29" s="1" customFormat="1" ht="13.5" customHeight="1">
      <c r="A58" s="32" t="s">
        <v>112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 t="s">
        <v>97</v>
      </c>
      <c r="M58" s="33"/>
      <c r="N58" s="33"/>
      <c r="O58" s="33" t="s">
        <v>127</v>
      </c>
      <c r="P58" s="33"/>
      <c r="Q58" s="33"/>
      <c r="R58" s="34" t="s">
        <v>113</v>
      </c>
      <c r="S58" s="34"/>
      <c r="T58" s="35">
        <f>14700</f>
        <v>14700</v>
      </c>
      <c r="U58" s="35"/>
      <c r="V58" s="35"/>
      <c r="W58" s="35">
        <f>14700</f>
        <v>14700</v>
      </c>
      <c r="X58" s="35"/>
      <c r="Y58" s="35"/>
      <c r="Z58" s="35"/>
      <c r="AA58" s="35"/>
      <c r="AB58" s="36">
        <f>0</f>
        <v>0</v>
      </c>
      <c r="AC58" s="36"/>
    </row>
    <row r="59" spans="1:29" s="1" customFormat="1" ht="13.5" customHeight="1">
      <c r="A59" s="32" t="s">
        <v>112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 t="s">
        <v>97</v>
      </c>
      <c r="M59" s="33"/>
      <c r="N59" s="33"/>
      <c r="O59" s="33" t="s">
        <v>128</v>
      </c>
      <c r="P59" s="33"/>
      <c r="Q59" s="33"/>
      <c r="R59" s="34" t="s">
        <v>113</v>
      </c>
      <c r="S59" s="34"/>
      <c r="T59" s="35">
        <f>16000</f>
        <v>16000</v>
      </c>
      <c r="U59" s="35"/>
      <c r="V59" s="35"/>
      <c r="W59" s="35">
        <f>16000</f>
        <v>16000</v>
      </c>
      <c r="X59" s="35"/>
      <c r="Y59" s="35"/>
      <c r="Z59" s="35"/>
      <c r="AA59" s="35"/>
      <c r="AB59" s="36">
        <f>0</f>
        <v>0</v>
      </c>
      <c r="AC59" s="36"/>
    </row>
    <row r="60" spans="1:29" s="1" customFormat="1" ht="13.5" customHeight="1">
      <c r="A60" s="32" t="s">
        <v>112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 t="s">
        <v>97</v>
      </c>
      <c r="M60" s="33"/>
      <c r="N60" s="33"/>
      <c r="O60" s="33" t="s">
        <v>129</v>
      </c>
      <c r="P60" s="33"/>
      <c r="Q60" s="33"/>
      <c r="R60" s="34" t="s">
        <v>113</v>
      </c>
      <c r="S60" s="34"/>
      <c r="T60" s="35">
        <f>79400</f>
        <v>79400</v>
      </c>
      <c r="U60" s="35"/>
      <c r="V60" s="35"/>
      <c r="W60" s="35">
        <f>79400</f>
        <v>79400</v>
      </c>
      <c r="X60" s="35"/>
      <c r="Y60" s="35"/>
      <c r="Z60" s="35"/>
      <c r="AA60" s="35"/>
      <c r="AB60" s="36">
        <f>0</f>
        <v>0</v>
      </c>
      <c r="AC60" s="36"/>
    </row>
    <row r="61" spans="1:29" s="1" customFormat="1" ht="13.5" customHeight="1">
      <c r="A61" s="32" t="s">
        <v>112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 t="s">
        <v>97</v>
      </c>
      <c r="M61" s="33"/>
      <c r="N61" s="33"/>
      <c r="O61" s="33" t="s">
        <v>130</v>
      </c>
      <c r="P61" s="33"/>
      <c r="Q61" s="33"/>
      <c r="R61" s="34" t="s">
        <v>113</v>
      </c>
      <c r="S61" s="34"/>
      <c r="T61" s="35">
        <f>60000</f>
        <v>60000</v>
      </c>
      <c r="U61" s="35"/>
      <c r="V61" s="35"/>
      <c r="W61" s="35">
        <f>23969.05</f>
        <v>23969.05</v>
      </c>
      <c r="X61" s="35"/>
      <c r="Y61" s="35"/>
      <c r="Z61" s="35"/>
      <c r="AA61" s="35"/>
      <c r="AB61" s="36">
        <f>36030.95</f>
        <v>36030.95</v>
      </c>
      <c r="AC61" s="36"/>
    </row>
    <row r="62" spans="1:29" s="1" customFormat="1" ht="24" customHeight="1">
      <c r="A62" s="32" t="s">
        <v>131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 t="s">
        <v>97</v>
      </c>
      <c r="M62" s="33"/>
      <c r="N62" s="33"/>
      <c r="O62" s="33" t="s">
        <v>132</v>
      </c>
      <c r="P62" s="33"/>
      <c r="Q62" s="33"/>
      <c r="R62" s="34" t="s">
        <v>133</v>
      </c>
      <c r="S62" s="34"/>
      <c r="T62" s="35">
        <f>11017</f>
        <v>11017</v>
      </c>
      <c r="U62" s="35"/>
      <c r="V62" s="35"/>
      <c r="W62" s="35">
        <f>11017</f>
        <v>11017</v>
      </c>
      <c r="X62" s="35"/>
      <c r="Y62" s="35"/>
      <c r="Z62" s="35"/>
      <c r="AA62" s="35"/>
      <c r="AB62" s="36">
        <f>0</f>
        <v>0</v>
      </c>
      <c r="AC62" s="36"/>
    </row>
    <row r="63" spans="1:29" s="1" customFormat="1" ht="13.5" customHeight="1">
      <c r="A63" s="32" t="s">
        <v>98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 t="s">
        <v>97</v>
      </c>
      <c r="M63" s="33"/>
      <c r="N63" s="33"/>
      <c r="O63" s="33" t="s">
        <v>134</v>
      </c>
      <c r="P63" s="33"/>
      <c r="Q63" s="33"/>
      <c r="R63" s="34" t="s">
        <v>100</v>
      </c>
      <c r="S63" s="34"/>
      <c r="T63" s="35">
        <f>6885024.88</f>
        <v>6885024.88</v>
      </c>
      <c r="U63" s="35"/>
      <c r="V63" s="35"/>
      <c r="W63" s="35">
        <f>6845707.37</f>
        <v>6845707.37</v>
      </c>
      <c r="X63" s="35"/>
      <c r="Y63" s="35"/>
      <c r="Z63" s="35"/>
      <c r="AA63" s="35"/>
      <c r="AB63" s="36">
        <f>39317.51</f>
        <v>39317.51</v>
      </c>
      <c r="AC63" s="36"/>
    </row>
    <row r="64" spans="1:29" s="1" customFormat="1" ht="13.5" customHeight="1">
      <c r="A64" s="32" t="s">
        <v>105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 t="s">
        <v>97</v>
      </c>
      <c r="M64" s="33"/>
      <c r="N64" s="33"/>
      <c r="O64" s="33" t="s">
        <v>134</v>
      </c>
      <c r="P64" s="33"/>
      <c r="Q64" s="33"/>
      <c r="R64" s="34" t="s">
        <v>106</v>
      </c>
      <c r="S64" s="34"/>
      <c r="T64" s="35">
        <f>25025.52</f>
        <v>25025.52</v>
      </c>
      <c r="U64" s="35"/>
      <c r="V64" s="35"/>
      <c r="W64" s="35">
        <f>11355.77</f>
        <v>11355.77</v>
      </c>
      <c r="X64" s="35"/>
      <c r="Y64" s="35"/>
      <c r="Z64" s="35"/>
      <c r="AA64" s="35"/>
      <c r="AB64" s="36">
        <f>13669.75</f>
        <v>13669.75</v>
      </c>
      <c r="AC64" s="36"/>
    </row>
    <row r="65" spans="1:29" s="1" customFormat="1" ht="13.5" customHeight="1">
      <c r="A65" s="32" t="s">
        <v>107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 t="s">
        <v>97</v>
      </c>
      <c r="M65" s="33"/>
      <c r="N65" s="33"/>
      <c r="O65" s="33" t="s">
        <v>135</v>
      </c>
      <c r="P65" s="33"/>
      <c r="Q65" s="33"/>
      <c r="R65" s="34" t="s">
        <v>109</v>
      </c>
      <c r="S65" s="34"/>
      <c r="T65" s="35">
        <f>1701</f>
        <v>1701</v>
      </c>
      <c r="U65" s="35"/>
      <c r="V65" s="35"/>
      <c r="W65" s="35">
        <f>1500</f>
        <v>1500</v>
      </c>
      <c r="X65" s="35"/>
      <c r="Y65" s="35"/>
      <c r="Z65" s="35"/>
      <c r="AA65" s="35"/>
      <c r="AB65" s="36">
        <f>201</f>
        <v>201</v>
      </c>
      <c r="AC65" s="36"/>
    </row>
    <row r="66" spans="1:29" s="1" customFormat="1" ht="13.5" customHeight="1">
      <c r="A66" s="32" t="s">
        <v>110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3" t="s">
        <v>97</v>
      </c>
      <c r="M66" s="33"/>
      <c r="N66" s="33"/>
      <c r="O66" s="33" t="s">
        <v>135</v>
      </c>
      <c r="P66" s="33"/>
      <c r="Q66" s="33"/>
      <c r="R66" s="34" t="s">
        <v>111</v>
      </c>
      <c r="S66" s="34"/>
      <c r="T66" s="35">
        <f>42103.87</f>
        <v>42103.87</v>
      </c>
      <c r="U66" s="35"/>
      <c r="V66" s="35"/>
      <c r="W66" s="35">
        <f>42103.87</f>
        <v>42103.87</v>
      </c>
      <c r="X66" s="35"/>
      <c r="Y66" s="35"/>
      <c r="Z66" s="35"/>
      <c r="AA66" s="35"/>
      <c r="AB66" s="36">
        <f>0</f>
        <v>0</v>
      </c>
      <c r="AC66" s="36"/>
    </row>
    <row r="67" spans="1:29" s="1" customFormat="1" ht="13.5" customHeight="1">
      <c r="A67" s="32" t="s">
        <v>112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 t="s">
        <v>97</v>
      </c>
      <c r="M67" s="33"/>
      <c r="N67" s="33"/>
      <c r="O67" s="33" t="s">
        <v>135</v>
      </c>
      <c r="P67" s="33"/>
      <c r="Q67" s="33"/>
      <c r="R67" s="34" t="s">
        <v>113</v>
      </c>
      <c r="S67" s="34"/>
      <c r="T67" s="35">
        <f>3700.5</f>
        <v>3700.5</v>
      </c>
      <c r="U67" s="35"/>
      <c r="V67" s="35"/>
      <c r="W67" s="35">
        <f>3700.5</f>
        <v>3700.5</v>
      </c>
      <c r="X67" s="35"/>
      <c r="Y67" s="35"/>
      <c r="Z67" s="35"/>
      <c r="AA67" s="35"/>
      <c r="AB67" s="36">
        <f>0</f>
        <v>0</v>
      </c>
      <c r="AC67" s="36"/>
    </row>
    <row r="68" spans="1:29" s="1" customFormat="1" ht="13.5" customHeight="1">
      <c r="A68" s="32" t="s">
        <v>114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3" t="s">
        <v>97</v>
      </c>
      <c r="M68" s="33"/>
      <c r="N68" s="33"/>
      <c r="O68" s="33" t="s">
        <v>135</v>
      </c>
      <c r="P68" s="33"/>
      <c r="Q68" s="33"/>
      <c r="R68" s="34" t="s">
        <v>115</v>
      </c>
      <c r="S68" s="34"/>
      <c r="T68" s="35">
        <f>0</f>
        <v>0</v>
      </c>
      <c r="U68" s="35"/>
      <c r="V68" s="35"/>
      <c r="W68" s="37" t="s">
        <v>37</v>
      </c>
      <c r="X68" s="37"/>
      <c r="Y68" s="37"/>
      <c r="Z68" s="37"/>
      <c r="AA68" s="37"/>
      <c r="AB68" s="38" t="s">
        <v>37</v>
      </c>
      <c r="AC68" s="38"/>
    </row>
    <row r="69" spans="1:29" s="1" customFormat="1" ht="13.5" customHeight="1">
      <c r="A69" s="32" t="s">
        <v>101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 t="s">
        <v>97</v>
      </c>
      <c r="M69" s="33"/>
      <c r="N69" s="33"/>
      <c r="O69" s="33" t="s">
        <v>136</v>
      </c>
      <c r="P69" s="33"/>
      <c r="Q69" s="33"/>
      <c r="R69" s="34" t="s">
        <v>103</v>
      </c>
      <c r="S69" s="34"/>
      <c r="T69" s="35">
        <f>2092376.22</f>
        <v>2092376.22</v>
      </c>
      <c r="U69" s="35"/>
      <c r="V69" s="35"/>
      <c r="W69" s="35">
        <f>2080507.83</f>
        <v>2080507.83</v>
      </c>
      <c r="X69" s="35"/>
      <c r="Y69" s="35"/>
      <c r="Z69" s="35"/>
      <c r="AA69" s="35"/>
      <c r="AB69" s="36">
        <f>11868.39</f>
        <v>11868.39</v>
      </c>
      <c r="AC69" s="36"/>
    </row>
    <row r="70" spans="1:29" s="1" customFormat="1" ht="24" customHeight="1">
      <c r="A70" s="32" t="s">
        <v>117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 t="s">
        <v>97</v>
      </c>
      <c r="M70" s="33"/>
      <c r="N70" s="33"/>
      <c r="O70" s="33" t="s">
        <v>136</v>
      </c>
      <c r="P70" s="33"/>
      <c r="Q70" s="33"/>
      <c r="R70" s="34" t="s">
        <v>118</v>
      </c>
      <c r="S70" s="34"/>
      <c r="T70" s="35">
        <f>2274.66</f>
        <v>2274.66</v>
      </c>
      <c r="U70" s="35"/>
      <c r="V70" s="35"/>
      <c r="W70" s="35">
        <f>2274.66</f>
        <v>2274.66</v>
      </c>
      <c r="X70" s="35"/>
      <c r="Y70" s="35"/>
      <c r="Z70" s="35"/>
      <c r="AA70" s="35"/>
      <c r="AB70" s="36">
        <f>0</f>
        <v>0</v>
      </c>
      <c r="AC70" s="36"/>
    </row>
    <row r="71" spans="1:29" s="1" customFormat="1" ht="13.5" customHeight="1">
      <c r="A71" s="32" t="s">
        <v>137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 t="s">
        <v>97</v>
      </c>
      <c r="M71" s="33"/>
      <c r="N71" s="33"/>
      <c r="O71" s="33" t="s">
        <v>138</v>
      </c>
      <c r="P71" s="33"/>
      <c r="Q71" s="33"/>
      <c r="R71" s="34" t="s">
        <v>139</v>
      </c>
      <c r="S71" s="34"/>
      <c r="T71" s="35">
        <f>0</f>
        <v>0</v>
      </c>
      <c r="U71" s="35"/>
      <c r="V71" s="35"/>
      <c r="W71" s="37" t="s">
        <v>37</v>
      </c>
      <c r="X71" s="37"/>
      <c r="Y71" s="37"/>
      <c r="Z71" s="37"/>
      <c r="AA71" s="37"/>
      <c r="AB71" s="38" t="s">
        <v>37</v>
      </c>
      <c r="AC71" s="38"/>
    </row>
    <row r="72" spans="1:29" s="1" customFormat="1" ht="13.5" customHeight="1">
      <c r="A72" s="32" t="s">
        <v>140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 t="s">
        <v>97</v>
      </c>
      <c r="M72" s="33"/>
      <c r="N72" s="33"/>
      <c r="O72" s="33" t="s">
        <v>141</v>
      </c>
      <c r="P72" s="33"/>
      <c r="Q72" s="33"/>
      <c r="R72" s="34" t="s">
        <v>142</v>
      </c>
      <c r="S72" s="34"/>
      <c r="T72" s="35">
        <f>33000</f>
        <v>33000</v>
      </c>
      <c r="U72" s="35"/>
      <c r="V72" s="35"/>
      <c r="W72" s="35">
        <f>29815.5</f>
        <v>29815.5</v>
      </c>
      <c r="X72" s="35"/>
      <c r="Y72" s="35"/>
      <c r="Z72" s="35"/>
      <c r="AA72" s="35"/>
      <c r="AB72" s="36">
        <f>3184.5</f>
        <v>3184.5</v>
      </c>
      <c r="AC72" s="36"/>
    </row>
    <row r="73" spans="1:29" s="1" customFormat="1" ht="13.5" customHeight="1">
      <c r="A73" s="32" t="s">
        <v>143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 t="s">
        <v>97</v>
      </c>
      <c r="M73" s="33"/>
      <c r="N73" s="33"/>
      <c r="O73" s="33" t="s">
        <v>141</v>
      </c>
      <c r="P73" s="33"/>
      <c r="Q73" s="33"/>
      <c r="R73" s="34" t="s">
        <v>144</v>
      </c>
      <c r="S73" s="34"/>
      <c r="T73" s="35">
        <f>77558.74</f>
        <v>77558.74</v>
      </c>
      <c r="U73" s="35"/>
      <c r="V73" s="35"/>
      <c r="W73" s="35">
        <f>77558.74</f>
        <v>77558.74</v>
      </c>
      <c r="X73" s="35"/>
      <c r="Y73" s="35"/>
      <c r="Z73" s="35"/>
      <c r="AA73" s="35"/>
      <c r="AB73" s="36">
        <f>0</f>
        <v>0</v>
      </c>
      <c r="AC73" s="36"/>
    </row>
    <row r="74" spans="1:29" s="1" customFormat="1" ht="13.5" customHeight="1">
      <c r="A74" s="32" t="s">
        <v>145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 t="s">
        <v>97</v>
      </c>
      <c r="M74" s="33"/>
      <c r="N74" s="33"/>
      <c r="O74" s="33" t="s">
        <v>141</v>
      </c>
      <c r="P74" s="33"/>
      <c r="Q74" s="33"/>
      <c r="R74" s="34" t="s">
        <v>146</v>
      </c>
      <c r="S74" s="34"/>
      <c r="T74" s="35">
        <f>345688.92</f>
        <v>345688.92</v>
      </c>
      <c r="U74" s="35"/>
      <c r="V74" s="35"/>
      <c r="W74" s="35">
        <f>334755.47</f>
        <v>334755.47</v>
      </c>
      <c r="X74" s="35"/>
      <c r="Y74" s="35"/>
      <c r="Z74" s="35"/>
      <c r="AA74" s="35"/>
      <c r="AB74" s="36">
        <f>10933.45</f>
        <v>10933.45</v>
      </c>
      <c r="AC74" s="36"/>
    </row>
    <row r="75" spans="1:29" s="1" customFormat="1" ht="13.5" customHeight="1">
      <c r="A75" s="32" t="s">
        <v>124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 t="s">
        <v>97</v>
      </c>
      <c r="M75" s="33"/>
      <c r="N75" s="33"/>
      <c r="O75" s="33" t="s">
        <v>141</v>
      </c>
      <c r="P75" s="33"/>
      <c r="Q75" s="33"/>
      <c r="R75" s="34" t="s">
        <v>126</v>
      </c>
      <c r="S75" s="34"/>
      <c r="T75" s="35">
        <f>52130</f>
        <v>52130</v>
      </c>
      <c r="U75" s="35"/>
      <c r="V75" s="35"/>
      <c r="W75" s="35">
        <f>52130</f>
        <v>52130</v>
      </c>
      <c r="X75" s="35"/>
      <c r="Y75" s="35"/>
      <c r="Z75" s="35"/>
      <c r="AA75" s="35"/>
      <c r="AB75" s="36">
        <f>0</f>
        <v>0</v>
      </c>
      <c r="AC75" s="36"/>
    </row>
    <row r="76" spans="1:29" s="1" customFormat="1" ht="13.5" customHeight="1">
      <c r="A76" s="32" t="s">
        <v>112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 t="s">
        <v>97</v>
      </c>
      <c r="M76" s="33"/>
      <c r="N76" s="33"/>
      <c r="O76" s="33" t="s">
        <v>141</v>
      </c>
      <c r="P76" s="33"/>
      <c r="Q76" s="33"/>
      <c r="R76" s="34" t="s">
        <v>113</v>
      </c>
      <c r="S76" s="34"/>
      <c r="T76" s="35">
        <f>41806</f>
        <v>41806</v>
      </c>
      <c r="U76" s="35"/>
      <c r="V76" s="35"/>
      <c r="W76" s="35">
        <f>41806</f>
        <v>41806</v>
      </c>
      <c r="X76" s="35"/>
      <c r="Y76" s="35"/>
      <c r="Z76" s="35"/>
      <c r="AA76" s="35"/>
      <c r="AB76" s="36">
        <f>0</f>
        <v>0</v>
      </c>
      <c r="AC76" s="36"/>
    </row>
    <row r="77" spans="1:29" s="1" customFormat="1" ht="13.5" customHeight="1">
      <c r="A77" s="32" t="s">
        <v>147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 t="s">
        <v>97</v>
      </c>
      <c r="M77" s="33"/>
      <c r="N77" s="33"/>
      <c r="O77" s="33" t="s">
        <v>141</v>
      </c>
      <c r="P77" s="33"/>
      <c r="Q77" s="33"/>
      <c r="R77" s="34" t="s">
        <v>148</v>
      </c>
      <c r="S77" s="34"/>
      <c r="T77" s="35">
        <f>10492.66</f>
        <v>10492.66</v>
      </c>
      <c r="U77" s="35"/>
      <c r="V77" s="35"/>
      <c r="W77" s="35">
        <f>10492.66</f>
        <v>10492.66</v>
      </c>
      <c r="X77" s="35"/>
      <c r="Y77" s="35"/>
      <c r="Z77" s="35"/>
      <c r="AA77" s="35"/>
      <c r="AB77" s="36">
        <f>0</f>
        <v>0</v>
      </c>
      <c r="AC77" s="36"/>
    </row>
    <row r="78" spans="1:29" s="1" customFormat="1" ht="13.5" customHeight="1">
      <c r="A78" s="32" t="s">
        <v>137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 t="s">
        <v>97</v>
      </c>
      <c r="M78" s="33"/>
      <c r="N78" s="33"/>
      <c r="O78" s="33" t="s">
        <v>141</v>
      </c>
      <c r="P78" s="33"/>
      <c r="Q78" s="33"/>
      <c r="R78" s="34" t="s">
        <v>139</v>
      </c>
      <c r="S78" s="34"/>
      <c r="T78" s="35">
        <f>34654.25</f>
        <v>34654.25</v>
      </c>
      <c r="U78" s="35"/>
      <c r="V78" s="35"/>
      <c r="W78" s="35">
        <f>34654.25</f>
        <v>34654.25</v>
      </c>
      <c r="X78" s="35"/>
      <c r="Y78" s="35"/>
      <c r="Z78" s="35"/>
      <c r="AA78" s="35"/>
      <c r="AB78" s="36">
        <f>0</f>
        <v>0</v>
      </c>
      <c r="AC78" s="36"/>
    </row>
    <row r="79" spans="1:29" s="1" customFormat="1" ht="13.5" customHeight="1">
      <c r="A79" s="32" t="s">
        <v>149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 t="s">
        <v>97</v>
      </c>
      <c r="M79" s="33"/>
      <c r="N79" s="33"/>
      <c r="O79" s="33" t="s">
        <v>141</v>
      </c>
      <c r="P79" s="33"/>
      <c r="Q79" s="33"/>
      <c r="R79" s="34" t="s">
        <v>150</v>
      </c>
      <c r="S79" s="34"/>
      <c r="T79" s="35">
        <f>180732.75</f>
        <v>180732.75</v>
      </c>
      <c r="U79" s="35"/>
      <c r="V79" s="35"/>
      <c r="W79" s="35">
        <f>179031.35</f>
        <v>179031.35</v>
      </c>
      <c r="X79" s="35"/>
      <c r="Y79" s="35"/>
      <c r="Z79" s="35"/>
      <c r="AA79" s="35"/>
      <c r="AB79" s="36">
        <f>1701.4</f>
        <v>1701.4</v>
      </c>
      <c r="AC79" s="36"/>
    </row>
    <row r="80" spans="1:29" s="1" customFormat="1" ht="13.5" customHeight="1">
      <c r="A80" s="32" t="s">
        <v>151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 t="s">
        <v>97</v>
      </c>
      <c r="M80" s="33"/>
      <c r="N80" s="33"/>
      <c r="O80" s="33" t="s">
        <v>141</v>
      </c>
      <c r="P80" s="33"/>
      <c r="Q80" s="33"/>
      <c r="R80" s="34" t="s">
        <v>152</v>
      </c>
      <c r="S80" s="34"/>
      <c r="T80" s="35">
        <f>173392.98</f>
        <v>173392.98</v>
      </c>
      <c r="U80" s="35"/>
      <c r="V80" s="35"/>
      <c r="W80" s="35">
        <f>173392.98</f>
        <v>173392.98</v>
      </c>
      <c r="X80" s="35"/>
      <c r="Y80" s="35"/>
      <c r="Z80" s="35"/>
      <c r="AA80" s="35"/>
      <c r="AB80" s="36">
        <f>0</f>
        <v>0</v>
      </c>
      <c r="AC80" s="36"/>
    </row>
    <row r="81" spans="1:29" s="1" customFormat="1" ht="13.5" customHeight="1">
      <c r="A81" s="32" t="s">
        <v>153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 t="s">
        <v>97</v>
      </c>
      <c r="M81" s="33"/>
      <c r="N81" s="33"/>
      <c r="O81" s="33" t="s">
        <v>141</v>
      </c>
      <c r="P81" s="33"/>
      <c r="Q81" s="33"/>
      <c r="R81" s="34" t="s">
        <v>154</v>
      </c>
      <c r="S81" s="34"/>
      <c r="T81" s="35">
        <f>12700</f>
        <v>12700</v>
      </c>
      <c r="U81" s="35"/>
      <c r="V81" s="35"/>
      <c r="W81" s="35">
        <f>12700</f>
        <v>12700</v>
      </c>
      <c r="X81" s="35"/>
      <c r="Y81" s="35"/>
      <c r="Z81" s="35"/>
      <c r="AA81" s="35"/>
      <c r="AB81" s="36">
        <f>0</f>
        <v>0</v>
      </c>
      <c r="AC81" s="36"/>
    </row>
    <row r="82" spans="1:29" s="1" customFormat="1" ht="13.5" customHeight="1">
      <c r="A82" s="32" t="s">
        <v>155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3" t="s">
        <v>97</v>
      </c>
      <c r="M82" s="33"/>
      <c r="N82" s="33"/>
      <c r="O82" s="33" t="s">
        <v>141</v>
      </c>
      <c r="P82" s="33"/>
      <c r="Q82" s="33"/>
      <c r="R82" s="34" t="s">
        <v>156</v>
      </c>
      <c r="S82" s="34"/>
      <c r="T82" s="35">
        <f>187383.28</f>
        <v>187383.28</v>
      </c>
      <c r="U82" s="35"/>
      <c r="V82" s="35"/>
      <c r="W82" s="35">
        <f>187383.28</f>
        <v>187383.28</v>
      </c>
      <c r="X82" s="35"/>
      <c r="Y82" s="35"/>
      <c r="Z82" s="35"/>
      <c r="AA82" s="35"/>
      <c r="AB82" s="36">
        <f>0</f>
        <v>0</v>
      </c>
      <c r="AC82" s="36"/>
    </row>
    <row r="83" spans="1:29" s="1" customFormat="1" ht="24" customHeight="1">
      <c r="A83" s="32" t="s">
        <v>131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 t="s">
        <v>97</v>
      </c>
      <c r="M83" s="33"/>
      <c r="N83" s="33"/>
      <c r="O83" s="33" t="s">
        <v>141</v>
      </c>
      <c r="P83" s="33"/>
      <c r="Q83" s="33"/>
      <c r="R83" s="34" t="s">
        <v>133</v>
      </c>
      <c r="S83" s="34"/>
      <c r="T83" s="35">
        <f>4140</f>
        <v>4140</v>
      </c>
      <c r="U83" s="35"/>
      <c r="V83" s="35"/>
      <c r="W83" s="35">
        <f>4140</f>
        <v>4140</v>
      </c>
      <c r="X83" s="35"/>
      <c r="Y83" s="35"/>
      <c r="Z83" s="35"/>
      <c r="AA83" s="35"/>
      <c r="AB83" s="36">
        <f>0</f>
        <v>0</v>
      </c>
      <c r="AC83" s="36"/>
    </row>
    <row r="84" spans="1:29" s="1" customFormat="1" ht="13.5" customHeight="1">
      <c r="A84" s="32" t="s">
        <v>140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 t="s">
        <v>97</v>
      </c>
      <c r="M84" s="33"/>
      <c r="N84" s="33"/>
      <c r="O84" s="33" t="s">
        <v>157</v>
      </c>
      <c r="P84" s="33"/>
      <c r="Q84" s="33"/>
      <c r="R84" s="34" t="s">
        <v>142</v>
      </c>
      <c r="S84" s="34"/>
      <c r="T84" s="35">
        <f>69426.3</f>
        <v>69426.3</v>
      </c>
      <c r="U84" s="35"/>
      <c r="V84" s="35"/>
      <c r="W84" s="35">
        <f>69426.3</f>
        <v>69426.3</v>
      </c>
      <c r="X84" s="35"/>
      <c r="Y84" s="35"/>
      <c r="Z84" s="35"/>
      <c r="AA84" s="35"/>
      <c r="AB84" s="36">
        <f>0</f>
        <v>0</v>
      </c>
      <c r="AC84" s="36"/>
    </row>
    <row r="85" spans="1:29" s="1" customFormat="1" ht="13.5" customHeight="1">
      <c r="A85" s="32" t="s">
        <v>140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3" t="s">
        <v>97</v>
      </c>
      <c r="M85" s="33"/>
      <c r="N85" s="33"/>
      <c r="O85" s="33" t="s">
        <v>158</v>
      </c>
      <c r="P85" s="33"/>
      <c r="Q85" s="33"/>
      <c r="R85" s="34" t="s">
        <v>142</v>
      </c>
      <c r="S85" s="34"/>
      <c r="T85" s="35">
        <f>0</f>
        <v>0</v>
      </c>
      <c r="U85" s="35"/>
      <c r="V85" s="35"/>
      <c r="W85" s="37" t="s">
        <v>37</v>
      </c>
      <c r="X85" s="37"/>
      <c r="Y85" s="37"/>
      <c r="Z85" s="37"/>
      <c r="AA85" s="37"/>
      <c r="AB85" s="38" t="s">
        <v>37</v>
      </c>
      <c r="AC85" s="38"/>
    </row>
    <row r="86" spans="1:29" s="1" customFormat="1" ht="13.5" customHeight="1">
      <c r="A86" s="32" t="s">
        <v>145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 t="s">
        <v>97</v>
      </c>
      <c r="M86" s="33"/>
      <c r="N86" s="33"/>
      <c r="O86" s="33" t="s">
        <v>158</v>
      </c>
      <c r="P86" s="33"/>
      <c r="Q86" s="33"/>
      <c r="R86" s="34" t="s">
        <v>146</v>
      </c>
      <c r="S86" s="34"/>
      <c r="T86" s="35">
        <f>11590.95</f>
        <v>11590.95</v>
      </c>
      <c r="U86" s="35"/>
      <c r="V86" s="35"/>
      <c r="W86" s="35">
        <f>11590.95</f>
        <v>11590.95</v>
      </c>
      <c r="X86" s="35"/>
      <c r="Y86" s="35"/>
      <c r="Z86" s="35"/>
      <c r="AA86" s="35"/>
      <c r="AB86" s="36">
        <f>0</f>
        <v>0</v>
      </c>
      <c r="AC86" s="36"/>
    </row>
    <row r="87" spans="1:29" s="1" customFormat="1" ht="13.5" customHeight="1">
      <c r="A87" s="32" t="s">
        <v>112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3" t="s">
        <v>97</v>
      </c>
      <c r="M87" s="33"/>
      <c r="N87" s="33"/>
      <c r="O87" s="33" t="s">
        <v>158</v>
      </c>
      <c r="P87" s="33"/>
      <c r="Q87" s="33"/>
      <c r="R87" s="34" t="s">
        <v>113</v>
      </c>
      <c r="S87" s="34"/>
      <c r="T87" s="35">
        <f>4770</f>
        <v>4770</v>
      </c>
      <c r="U87" s="35"/>
      <c r="V87" s="35"/>
      <c r="W87" s="35">
        <f>4770</f>
        <v>4770</v>
      </c>
      <c r="X87" s="35"/>
      <c r="Y87" s="35"/>
      <c r="Z87" s="35"/>
      <c r="AA87" s="35"/>
      <c r="AB87" s="36">
        <f>0</f>
        <v>0</v>
      </c>
      <c r="AC87" s="36"/>
    </row>
    <row r="88" spans="1:29" s="1" customFormat="1" ht="13.5" customHeight="1">
      <c r="A88" s="32" t="s">
        <v>147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3" t="s">
        <v>97</v>
      </c>
      <c r="M88" s="33"/>
      <c r="N88" s="33"/>
      <c r="O88" s="33" t="s">
        <v>158</v>
      </c>
      <c r="P88" s="33"/>
      <c r="Q88" s="33"/>
      <c r="R88" s="34" t="s">
        <v>148</v>
      </c>
      <c r="S88" s="34"/>
      <c r="T88" s="35">
        <f>0</f>
        <v>0</v>
      </c>
      <c r="U88" s="35"/>
      <c r="V88" s="35"/>
      <c r="W88" s="37" t="s">
        <v>37</v>
      </c>
      <c r="X88" s="37"/>
      <c r="Y88" s="37"/>
      <c r="Z88" s="37"/>
      <c r="AA88" s="37"/>
      <c r="AB88" s="38" t="s">
        <v>37</v>
      </c>
      <c r="AC88" s="38"/>
    </row>
    <row r="89" spans="1:29" s="1" customFormat="1" ht="13.5" customHeight="1">
      <c r="A89" s="32" t="s">
        <v>137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3" t="s">
        <v>97</v>
      </c>
      <c r="M89" s="33"/>
      <c r="N89" s="33"/>
      <c r="O89" s="33" t="s">
        <v>158</v>
      </c>
      <c r="P89" s="33"/>
      <c r="Q89" s="33"/>
      <c r="R89" s="34" t="s">
        <v>139</v>
      </c>
      <c r="S89" s="34"/>
      <c r="T89" s="35">
        <f>1152566.67</f>
        <v>1152566.67</v>
      </c>
      <c r="U89" s="35"/>
      <c r="V89" s="35"/>
      <c r="W89" s="35">
        <f>1152566.67</f>
        <v>1152566.67</v>
      </c>
      <c r="X89" s="35"/>
      <c r="Y89" s="35"/>
      <c r="Z89" s="35"/>
      <c r="AA89" s="35"/>
      <c r="AB89" s="36">
        <f>0</f>
        <v>0</v>
      </c>
      <c r="AC89" s="36"/>
    </row>
    <row r="90" spans="1:29" s="1" customFormat="1" ht="13.5" customHeight="1">
      <c r="A90" s="32" t="s">
        <v>155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3" t="s">
        <v>97</v>
      </c>
      <c r="M90" s="33"/>
      <c r="N90" s="33"/>
      <c r="O90" s="33" t="s">
        <v>158</v>
      </c>
      <c r="P90" s="33"/>
      <c r="Q90" s="33"/>
      <c r="R90" s="34" t="s">
        <v>156</v>
      </c>
      <c r="S90" s="34"/>
      <c r="T90" s="35">
        <f>141010</f>
        <v>141010</v>
      </c>
      <c r="U90" s="35"/>
      <c r="V90" s="35"/>
      <c r="W90" s="35">
        <f>141010</f>
        <v>141010</v>
      </c>
      <c r="X90" s="35"/>
      <c r="Y90" s="35"/>
      <c r="Z90" s="35"/>
      <c r="AA90" s="35"/>
      <c r="AB90" s="36">
        <f>0</f>
        <v>0</v>
      </c>
      <c r="AC90" s="36"/>
    </row>
    <row r="91" spans="1:29" s="1" customFormat="1" ht="13.5" customHeight="1">
      <c r="A91" s="32" t="s">
        <v>159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 t="s">
        <v>97</v>
      </c>
      <c r="M91" s="33"/>
      <c r="N91" s="33"/>
      <c r="O91" s="33" t="s">
        <v>160</v>
      </c>
      <c r="P91" s="33"/>
      <c r="Q91" s="33"/>
      <c r="R91" s="34" t="s">
        <v>161</v>
      </c>
      <c r="S91" s="34"/>
      <c r="T91" s="35">
        <f>0</f>
        <v>0</v>
      </c>
      <c r="U91" s="35"/>
      <c r="V91" s="35"/>
      <c r="W91" s="37" t="s">
        <v>37</v>
      </c>
      <c r="X91" s="37"/>
      <c r="Y91" s="37"/>
      <c r="Z91" s="37"/>
      <c r="AA91" s="37"/>
      <c r="AB91" s="38" t="s">
        <v>37</v>
      </c>
      <c r="AC91" s="38"/>
    </row>
    <row r="92" spans="1:29" s="1" customFormat="1" ht="13.5" customHeight="1">
      <c r="A92" s="32" t="s">
        <v>159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3" t="s">
        <v>97</v>
      </c>
      <c r="M92" s="33"/>
      <c r="N92" s="33"/>
      <c r="O92" s="33" t="s">
        <v>162</v>
      </c>
      <c r="P92" s="33"/>
      <c r="Q92" s="33"/>
      <c r="R92" s="34" t="s">
        <v>161</v>
      </c>
      <c r="S92" s="34"/>
      <c r="T92" s="35">
        <f>30102</f>
        <v>30102</v>
      </c>
      <c r="U92" s="35"/>
      <c r="V92" s="35"/>
      <c r="W92" s="35">
        <f>30102</f>
        <v>30102</v>
      </c>
      <c r="X92" s="35"/>
      <c r="Y92" s="35"/>
      <c r="Z92" s="35"/>
      <c r="AA92" s="35"/>
      <c r="AB92" s="36">
        <f>0</f>
        <v>0</v>
      </c>
      <c r="AC92" s="36"/>
    </row>
    <row r="93" spans="1:29" s="1" customFormat="1" ht="13.5" customHeight="1">
      <c r="A93" s="32" t="s">
        <v>163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3" t="s">
        <v>97</v>
      </c>
      <c r="M93" s="33"/>
      <c r="N93" s="33"/>
      <c r="O93" s="33" t="s">
        <v>164</v>
      </c>
      <c r="P93" s="33"/>
      <c r="Q93" s="33"/>
      <c r="R93" s="34" t="s">
        <v>165</v>
      </c>
      <c r="S93" s="34"/>
      <c r="T93" s="35">
        <f>400000</f>
        <v>400000</v>
      </c>
      <c r="U93" s="35"/>
      <c r="V93" s="35"/>
      <c r="W93" s="35">
        <f>400000</f>
        <v>400000</v>
      </c>
      <c r="X93" s="35"/>
      <c r="Y93" s="35"/>
      <c r="Z93" s="35"/>
      <c r="AA93" s="35"/>
      <c r="AB93" s="36">
        <f>0</f>
        <v>0</v>
      </c>
      <c r="AC93" s="36"/>
    </row>
    <row r="94" spans="1:29" s="1" customFormat="1" ht="13.5" customHeight="1">
      <c r="A94" s="32" t="s">
        <v>112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3" t="s">
        <v>97</v>
      </c>
      <c r="M94" s="33"/>
      <c r="N94" s="33"/>
      <c r="O94" s="33" t="s">
        <v>166</v>
      </c>
      <c r="P94" s="33"/>
      <c r="Q94" s="33"/>
      <c r="R94" s="34" t="s">
        <v>113</v>
      </c>
      <c r="S94" s="34"/>
      <c r="T94" s="35">
        <f>23163.34</f>
        <v>23163.34</v>
      </c>
      <c r="U94" s="35"/>
      <c r="V94" s="35"/>
      <c r="W94" s="35">
        <f>23163.34</f>
        <v>23163.34</v>
      </c>
      <c r="X94" s="35"/>
      <c r="Y94" s="35"/>
      <c r="Z94" s="35"/>
      <c r="AA94" s="35"/>
      <c r="AB94" s="36">
        <f>0</f>
        <v>0</v>
      </c>
      <c r="AC94" s="36"/>
    </row>
    <row r="95" spans="1:29" s="1" customFormat="1" ht="13.5" customHeight="1">
      <c r="A95" s="32" t="s">
        <v>155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3" t="s">
        <v>97</v>
      </c>
      <c r="M95" s="33"/>
      <c r="N95" s="33"/>
      <c r="O95" s="33" t="s">
        <v>166</v>
      </c>
      <c r="P95" s="33"/>
      <c r="Q95" s="33"/>
      <c r="R95" s="34" t="s">
        <v>156</v>
      </c>
      <c r="S95" s="34"/>
      <c r="T95" s="35">
        <f>37539.66</f>
        <v>37539.66</v>
      </c>
      <c r="U95" s="35"/>
      <c r="V95" s="35"/>
      <c r="W95" s="35">
        <f>37539.66</f>
        <v>37539.66</v>
      </c>
      <c r="X95" s="35"/>
      <c r="Y95" s="35"/>
      <c r="Z95" s="35"/>
      <c r="AA95" s="35"/>
      <c r="AB95" s="36">
        <f>0</f>
        <v>0</v>
      </c>
      <c r="AC95" s="36"/>
    </row>
    <row r="96" spans="1:29" s="1" customFormat="1" ht="13.5" customHeight="1">
      <c r="A96" s="32" t="s">
        <v>143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3" t="s">
        <v>97</v>
      </c>
      <c r="M96" s="33"/>
      <c r="N96" s="33"/>
      <c r="O96" s="33" t="s">
        <v>167</v>
      </c>
      <c r="P96" s="33"/>
      <c r="Q96" s="33"/>
      <c r="R96" s="34" t="s">
        <v>144</v>
      </c>
      <c r="S96" s="34"/>
      <c r="T96" s="35">
        <f>0</f>
        <v>0</v>
      </c>
      <c r="U96" s="35"/>
      <c r="V96" s="35"/>
      <c r="W96" s="35">
        <f>0</f>
        <v>0</v>
      </c>
      <c r="X96" s="35"/>
      <c r="Y96" s="35"/>
      <c r="Z96" s="35"/>
      <c r="AA96" s="35"/>
      <c r="AB96" s="38" t="s">
        <v>37</v>
      </c>
      <c r="AC96" s="38"/>
    </row>
    <row r="97" spans="1:29" s="1" customFormat="1" ht="13.5" customHeight="1">
      <c r="A97" s="32" t="s">
        <v>143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3" t="s">
        <v>97</v>
      </c>
      <c r="M97" s="33"/>
      <c r="N97" s="33"/>
      <c r="O97" s="33" t="s">
        <v>168</v>
      </c>
      <c r="P97" s="33"/>
      <c r="Q97" s="33"/>
      <c r="R97" s="34" t="s">
        <v>144</v>
      </c>
      <c r="S97" s="34"/>
      <c r="T97" s="35">
        <f>36015</f>
        <v>36015</v>
      </c>
      <c r="U97" s="35"/>
      <c r="V97" s="35"/>
      <c r="W97" s="35">
        <f>36015</f>
        <v>36015</v>
      </c>
      <c r="X97" s="35"/>
      <c r="Y97" s="35"/>
      <c r="Z97" s="35"/>
      <c r="AA97" s="35"/>
      <c r="AB97" s="36">
        <f aca="true" t="shared" si="1" ref="AB97:AB105">0</f>
        <v>0</v>
      </c>
      <c r="AC97" s="36"/>
    </row>
    <row r="98" spans="1:29" s="1" customFormat="1" ht="13.5" customHeight="1">
      <c r="A98" s="32" t="s">
        <v>98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 t="s">
        <v>97</v>
      </c>
      <c r="M98" s="33"/>
      <c r="N98" s="33"/>
      <c r="O98" s="33" t="s">
        <v>169</v>
      </c>
      <c r="P98" s="33"/>
      <c r="Q98" s="33"/>
      <c r="R98" s="34" t="s">
        <v>100</v>
      </c>
      <c r="S98" s="34"/>
      <c r="T98" s="35">
        <f>354361</f>
        <v>354361</v>
      </c>
      <c r="U98" s="35"/>
      <c r="V98" s="35"/>
      <c r="W98" s="35">
        <f>354361</f>
        <v>354361</v>
      </c>
      <c r="X98" s="35"/>
      <c r="Y98" s="35"/>
      <c r="Z98" s="35"/>
      <c r="AA98" s="35"/>
      <c r="AB98" s="36">
        <f t="shared" si="1"/>
        <v>0</v>
      </c>
      <c r="AC98" s="36"/>
    </row>
    <row r="99" spans="1:29" s="1" customFormat="1" ht="13.5" customHeight="1">
      <c r="A99" s="32" t="s">
        <v>107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 t="s">
        <v>97</v>
      </c>
      <c r="M99" s="33"/>
      <c r="N99" s="33"/>
      <c r="O99" s="33" t="s">
        <v>170</v>
      </c>
      <c r="P99" s="33"/>
      <c r="Q99" s="33"/>
      <c r="R99" s="34" t="s">
        <v>109</v>
      </c>
      <c r="S99" s="34"/>
      <c r="T99" s="35">
        <f>1000</f>
        <v>1000</v>
      </c>
      <c r="U99" s="35"/>
      <c r="V99" s="35"/>
      <c r="W99" s="35">
        <f>1000</f>
        <v>1000</v>
      </c>
      <c r="X99" s="35"/>
      <c r="Y99" s="35"/>
      <c r="Z99" s="35"/>
      <c r="AA99" s="35"/>
      <c r="AB99" s="36">
        <f t="shared" si="1"/>
        <v>0</v>
      </c>
      <c r="AC99" s="36"/>
    </row>
    <row r="100" spans="1:29" s="1" customFormat="1" ht="13.5" customHeight="1">
      <c r="A100" s="32" t="s">
        <v>112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3" t="s">
        <v>97</v>
      </c>
      <c r="M100" s="33"/>
      <c r="N100" s="33"/>
      <c r="O100" s="33" t="s">
        <v>170</v>
      </c>
      <c r="P100" s="33"/>
      <c r="Q100" s="33"/>
      <c r="R100" s="34" t="s">
        <v>113</v>
      </c>
      <c r="S100" s="34"/>
      <c r="T100" s="35">
        <f>2993.4</f>
        <v>2993.4</v>
      </c>
      <c r="U100" s="35"/>
      <c r="V100" s="35"/>
      <c r="W100" s="35">
        <f>2993.4</f>
        <v>2993.4</v>
      </c>
      <c r="X100" s="35"/>
      <c r="Y100" s="35"/>
      <c r="Z100" s="35"/>
      <c r="AA100" s="35"/>
      <c r="AB100" s="36">
        <f t="shared" si="1"/>
        <v>0</v>
      </c>
      <c r="AC100" s="36"/>
    </row>
    <row r="101" spans="1:29" s="1" customFormat="1" ht="13.5" customHeight="1">
      <c r="A101" s="32" t="s">
        <v>101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3" t="s">
        <v>97</v>
      </c>
      <c r="M101" s="33"/>
      <c r="N101" s="33"/>
      <c r="O101" s="33" t="s">
        <v>171</v>
      </c>
      <c r="P101" s="33"/>
      <c r="Q101" s="33"/>
      <c r="R101" s="34" t="s">
        <v>103</v>
      </c>
      <c r="S101" s="34"/>
      <c r="T101" s="35">
        <f>107017.03</f>
        <v>107017.03</v>
      </c>
      <c r="U101" s="35"/>
      <c r="V101" s="35"/>
      <c r="W101" s="35">
        <f>107017.03</f>
        <v>107017.03</v>
      </c>
      <c r="X101" s="35"/>
      <c r="Y101" s="35"/>
      <c r="Z101" s="35"/>
      <c r="AA101" s="35"/>
      <c r="AB101" s="36">
        <f t="shared" si="1"/>
        <v>0</v>
      </c>
      <c r="AC101" s="36"/>
    </row>
    <row r="102" spans="1:29" s="1" customFormat="1" ht="13.5" customHeight="1">
      <c r="A102" s="32" t="s">
        <v>98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 t="s">
        <v>97</v>
      </c>
      <c r="M102" s="33"/>
      <c r="N102" s="33"/>
      <c r="O102" s="33" t="s">
        <v>172</v>
      </c>
      <c r="P102" s="33"/>
      <c r="Q102" s="33"/>
      <c r="R102" s="34" t="s">
        <v>100</v>
      </c>
      <c r="S102" s="34"/>
      <c r="T102" s="35">
        <f>54911.11</f>
        <v>54911.11</v>
      </c>
      <c r="U102" s="35"/>
      <c r="V102" s="35"/>
      <c r="W102" s="35">
        <f>54911.11</f>
        <v>54911.11</v>
      </c>
      <c r="X102" s="35"/>
      <c r="Y102" s="35"/>
      <c r="Z102" s="35"/>
      <c r="AA102" s="35"/>
      <c r="AB102" s="36">
        <f t="shared" si="1"/>
        <v>0</v>
      </c>
      <c r="AC102" s="36"/>
    </row>
    <row r="103" spans="1:29" s="1" customFormat="1" ht="13.5" customHeight="1">
      <c r="A103" s="32" t="s">
        <v>101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3" t="s">
        <v>97</v>
      </c>
      <c r="M103" s="33"/>
      <c r="N103" s="33"/>
      <c r="O103" s="33" t="s">
        <v>173</v>
      </c>
      <c r="P103" s="33"/>
      <c r="Q103" s="33"/>
      <c r="R103" s="34" t="s">
        <v>103</v>
      </c>
      <c r="S103" s="34"/>
      <c r="T103" s="35">
        <f>16583.15</f>
        <v>16583.15</v>
      </c>
      <c r="U103" s="35"/>
      <c r="V103" s="35"/>
      <c r="W103" s="35">
        <f>16583.15</f>
        <v>16583.15</v>
      </c>
      <c r="X103" s="35"/>
      <c r="Y103" s="35"/>
      <c r="Z103" s="35"/>
      <c r="AA103" s="35"/>
      <c r="AB103" s="36">
        <f t="shared" si="1"/>
        <v>0</v>
      </c>
      <c r="AC103" s="36"/>
    </row>
    <row r="104" spans="1:29" s="1" customFormat="1" ht="13.5" customHeight="1">
      <c r="A104" s="32" t="s">
        <v>98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3" t="s">
        <v>97</v>
      </c>
      <c r="M104" s="33"/>
      <c r="N104" s="33"/>
      <c r="O104" s="33" t="s">
        <v>174</v>
      </c>
      <c r="P104" s="33"/>
      <c r="Q104" s="33"/>
      <c r="R104" s="34" t="s">
        <v>100</v>
      </c>
      <c r="S104" s="34"/>
      <c r="T104" s="35">
        <f>13824.22</f>
        <v>13824.22</v>
      </c>
      <c r="U104" s="35"/>
      <c r="V104" s="35"/>
      <c r="W104" s="35">
        <f>13824.22</f>
        <v>13824.22</v>
      </c>
      <c r="X104" s="35"/>
      <c r="Y104" s="35"/>
      <c r="Z104" s="35"/>
      <c r="AA104" s="35"/>
      <c r="AB104" s="36">
        <f t="shared" si="1"/>
        <v>0</v>
      </c>
      <c r="AC104" s="36"/>
    </row>
    <row r="105" spans="1:29" s="1" customFormat="1" ht="13.5" customHeight="1">
      <c r="A105" s="32" t="s">
        <v>101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3" t="s">
        <v>97</v>
      </c>
      <c r="M105" s="33"/>
      <c r="N105" s="33"/>
      <c r="O105" s="33" t="s">
        <v>175</v>
      </c>
      <c r="P105" s="33"/>
      <c r="Q105" s="33"/>
      <c r="R105" s="34" t="s">
        <v>103</v>
      </c>
      <c r="S105" s="34"/>
      <c r="T105" s="35">
        <f>4174.91</f>
        <v>4174.91</v>
      </c>
      <c r="U105" s="35"/>
      <c r="V105" s="35"/>
      <c r="W105" s="35">
        <f>4174.91</f>
        <v>4174.91</v>
      </c>
      <c r="X105" s="35"/>
      <c r="Y105" s="35"/>
      <c r="Z105" s="35"/>
      <c r="AA105" s="35"/>
      <c r="AB105" s="36">
        <f t="shared" si="1"/>
        <v>0</v>
      </c>
      <c r="AC105" s="36"/>
    </row>
    <row r="106" spans="1:29" s="1" customFormat="1" ht="13.5" customHeight="1">
      <c r="A106" s="32" t="s">
        <v>137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3" t="s">
        <v>97</v>
      </c>
      <c r="M106" s="33"/>
      <c r="N106" s="33"/>
      <c r="O106" s="33" t="s">
        <v>176</v>
      </c>
      <c r="P106" s="33"/>
      <c r="Q106" s="33"/>
      <c r="R106" s="34" t="s">
        <v>139</v>
      </c>
      <c r="S106" s="34"/>
      <c r="T106" s="35">
        <f>0</f>
        <v>0</v>
      </c>
      <c r="U106" s="35"/>
      <c r="V106" s="35"/>
      <c r="W106" s="37" t="s">
        <v>37</v>
      </c>
      <c r="X106" s="37"/>
      <c r="Y106" s="37"/>
      <c r="Z106" s="37"/>
      <c r="AA106" s="37"/>
      <c r="AB106" s="38" t="s">
        <v>37</v>
      </c>
      <c r="AC106" s="38"/>
    </row>
    <row r="107" spans="1:29" s="1" customFormat="1" ht="24" customHeight="1">
      <c r="A107" s="32" t="s">
        <v>131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 t="s">
        <v>97</v>
      </c>
      <c r="M107" s="33"/>
      <c r="N107" s="33"/>
      <c r="O107" s="33" t="s">
        <v>176</v>
      </c>
      <c r="P107" s="33"/>
      <c r="Q107" s="33"/>
      <c r="R107" s="34" t="s">
        <v>133</v>
      </c>
      <c r="S107" s="34"/>
      <c r="T107" s="35">
        <f>10000</f>
        <v>10000</v>
      </c>
      <c r="U107" s="35"/>
      <c r="V107" s="35"/>
      <c r="W107" s="35">
        <f>9938.34</f>
        <v>9938.34</v>
      </c>
      <c r="X107" s="35"/>
      <c r="Y107" s="35"/>
      <c r="Z107" s="35"/>
      <c r="AA107" s="35"/>
      <c r="AB107" s="36">
        <f>61.66</f>
        <v>61.66</v>
      </c>
      <c r="AC107" s="36"/>
    </row>
    <row r="108" spans="1:29" s="1" customFormat="1" ht="13.5" customHeight="1">
      <c r="A108" s="32" t="s">
        <v>107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3" t="s">
        <v>97</v>
      </c>
      <c r="M108" s="33"/>
      <c r="N108" s="33"/>
      <c r="O108" s="33" t="s">
        <v>177</v>
      </c>
      <c r="P108" s="33"/>
      <c r="Q108" s="33"/>
      <c r="R108" s="34" t="s">
        <v>109</v>
      </c>
      <c r="S108" s="34"/>
      <c r="T108" s="35">
        <f>0</f>
        <v>0</v>
      </c>
      <c r="U108" s="35"/>
      <c r="V108" s="35"/>
      <c r="W108" s="35">
        <f>0</f>
        <v>0</v>
      </c>
      <c r="X108" s="35"/>
      <c r="Y108" s="35"/>
      <c r="Z108" s="35"/>
      <c r="AA108" s="35"/>
      <c r="AB108" s="38" t="s">
        <v>37</v>
      </c>
      <c r="AC108" s="38"/>
    </row>
    <row r="109" spans="1:29" s="1" customFormat="1" ht="24" customHeight="1">
      <c r="A109" s="32" t="s">
        <v>131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 t="s">
        <v>97</v>
      </c>
      <c r="M109" s="33"/>
      <c r="N109" s="33"/>
      <c r="O109" s="33" t="s">
        <v>178</v>
      </c>
      <c r="P109" s="33"/>
      <c r="Q109" s="33"/>
      <c r="R109" s="34" t="s">
        <v>133</v>
      </c>
      <c r="S109" s="34"/>
      <c r="T109" s="35">
        <f>10000</f>
        <v>10000</v>
      </c>
      <c r="U109" s="35"/>
      <c r="V109" s="35"/>
      <c r="W109" s="35">
        <f>10000</f>
        <v>10000</v>
      </c>
      <c r="X109" s="35"/>
      <c r="Y109" s="35"/>
      <c r="Z109" s="35"/>
      <c r="AA109" s="35"/>
      <c r="AB109" s="36">
        <f>0</f>
        <v>0</v>
      </c>
      <c r="AC109" s="36"/>
    </row>
    <row r="110" spans="1:29" s="1" customFormat="1" ht="13.5" customHeight="1">
      <c r="A110" s="32" t="s">
        <v>112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 t="s">
        <v>97</v>
      </c>
      <c r="M110" s="33"/>
      <c r="N110" s="33"/>
      <c r="O110" s="33" t="s">
        <v>179</v>
      </c>
      <c r="P110" s="33"/>
      <c r="Q110" s="33"/>
      <c r="R110" s="34" t="s">
        <v>113</v>
      </c>
      <c r="S110" s="34"/>
      <c r="T110" s="35">
        <f>11000</f>
        <v>11000</v>
      </c>
      <c r="U110" s="35"/>
      <c r="V110" s="35"/>
      <c r="W110" s="35">
        <f>8216</f>
        <v>8216</v>
      </c>
      <c r="X110" s="35"/>
      <c r="Y110" s="35"/>
      <c r="Z110" s="35"/>
      <c r="AA110" s="35"/>
      <c r="AB110" s="36">
        <f>2784</f>
        <v>2784</v>
      </c>
      <c r="AC110" s="36"/>
    </row>
    <row r="111" spans="1:29" s="1" customFormat="1" ht="13.5" customHeight="1">
      <c r="A111" s="32" t="s">
        <v>112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3" t="s">
        <v>97</v>
      </c>
      <c r="M111" s="33"/>
      <c r="N111" s="33"/>
      <c r="O111" s="33" t="s">
        <v>180</v>
      </c>
      <c r="P111" s="33"/>
      <c r="Q111" s="33"/>
      <c r="R111" s="34" t="s">
        <v>113</v>
      </c>
      <c r="S111" s="34"/>
      <c r="T111" s="35">
        <f>5500</f>
        <v>5500</v>
      </c>
      <c r="U111" s="35"/>
      <c r="V111" s="35"/>
      <c r="W111" s="35">
        <f>3000</f>
        <v>3000</v>
      </c>
      <c r="X111" s="35"/>
      <c r="Y111" s="35"/>
      <c r="Z111" s="35"/>
      <c r="AA111" s="35"/>
      <c r="AB111" s="36">
        <f>2500</f>
        <v>2500</v>
      </c>
      <c r="AC111" s="36"/>
    </row>
    <row r="112" spans="1:29" s="1" customFormat="1" ht="13.5" customHeight="1">
      <c r="A112" s="32" t="s">
        <v>107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3" t="s">
        <v>97</v>
      </c>
      <c r="M112" s="33"/>
      <c r="N112" s="33"/>
      <c r="O112" s="33" t="s">
        <v>181</v>
      </c>
      <c r="P112" s="33"/>
      <c r="Q112" s="33"/>
      <c r="R112" s="34" t="s">
        <v>109</v>
      </c>
      <c r="S112" s="34"/>
      <c r="T112" s="35">
        <f>0</f>
        <v>0</v>
      </c>
      <c r="U112" s="35"/>
      <c r="V112" s="35"/>
      <c r="W112" s="35">
        <f>0</f>
        <v>0</v>
      </c>
      <c r="X112" s="35"/>
      <c r="Y112" s="35"/>
      <c r="Z112" s="35"/>
      <c r="AA112" s="35"/>
      <c r="AB112" s="38" t="s">
        <v>37</v>
      </c>
      <c r="AC112" s="38"/>
    </row>
    <row r="113" spans="1:29" s="1" customFormat="1" ht="13.5" customHeight="1">
      <c r="A113" s="32" t="s">
        <v>112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3" t="s">
        <v>97</v>
      </c>
      <c r="M113" s="33"/>
      <c r="N113" s="33"/>
      <c r="O113" s="33" t="s">
        <v>181</v>
      </c>
      <c r="P113" s="33"/>
      <c r="Q113" s="33"/>
      <c r="R113" s="34" t="s">
        <v>113</v>
      </c>
      <c r="S113" s="34"/>
      <c r="T113" s="35">
        <f>21597.73</f>
        <v>21597.73</v>
      </c>
      <c r="U113" s="35"/>
      <c r="V113" s="35"/>
      <c r="W113" s="35">
        <f>21597.73</f>
        <v>21597.73</v>
      </c>
      <c r="X113" s="35"/>
      <c r="Y113" s="35"/>
      <c r="Z113" s="35"/>
      <c r="AA113" s="35"/>
      <c r="AB113" s="36">
        <f>0</f>
        <v>0</v>
      </c>
      <c r="AC113" s="36"/>
    </row>
    <row r="114" spans="1:29" s="1" customFormat="1" ht="13.5" customHeight="1">
      <c r="A114" s="32" t="s">
        <v>147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3" t="s">
        <v>97</v>
      </c>
      <c r="M114" s="33"/>
      <c r="N114" s="33"/>
      <c r="O114" s="33" t="s">
        <v>182</v>
      </c>
      <c r="P114" s="33"/>
      <c r="Q114" s="33"/>
      <c r="R114" s="34" t="s">
        <v>148</v>
      </c>
      <c r="S114" s="34"/>
      <c r="T114" s="35">
        <f>952.27</f>
        <v>952.27</v>
      </c>
      <c r="U114" s="35"/>
      <c r="V114" s="35"/>
      <c r="W114" s="35">
        <f>952.27</f>
        <v>952.27</v>
      </c>
      <c r="X114" s="35"/>
      <c r="Y114" s="35"/>
      <c r="Z114" s="35"/>
      <c r="AA114" s="35"/>
      <c r="AB114" s="36">
        <f>0</f>
        <v>0</v>
      </c>
      <c r="AC114" s="36"/>
    </row>
    <row r="115" spans="1:29" s="1" customFormat="1" ht="13.5" customHeight="1">
      <c r="A115" s="32" t="s">
        <v>107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3" t="s">
        <v>97</v>
      </c>
      <c r="M115" s="33"/>
      <c r="N115" s="33"/>
      <c r="O115" s="33" t="s">
        <v>183</v>
      </c>
      <c r="P115" s="33"/>
      <c r="Q115" s="33"/>
      <c r="R115" s="34" t="s">
        <v>109</v>
      </c>
      <c r="S115" s="34"/>
      <c r="T115" s="35">
        <f>0</f>
        <v>0</v>
      </c>
      <c r="U115" s="35"/>
      <c r="V115" s="35"/>
      <c r="W115" s="35">
        <f>0</f>
        <v>0</v>
      </c>
      <c r="X115" s="35"/>
      <c r="Y115" s="35"/>
      <c r="Z115" s="35"/>
      <c r="AA115" s="35"/>
      <c r="AB115" s="38" t="s">
        <v>37</v>
      </c>
      <c r="AC115" s="38"/>
    </row>
    <row r="116" spans="1:29" s="1" customFormat="1" ht="13.5" customHeight="1">
      <c r="A116" s="32" t="s">
        <v>112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3" t="s">
        <v>97</v>
      </c>
      <c r="M116" s="33"/>
      <c r="N116" s="33"/>
      <c r="O116" s="33" t="s">
        <v>183</v>
      </c>
      <c r="P116" s="33"/>
      <c r="Q116" s="33"/>
      <c r="R116" s="34" t="s">
        <v>113</v>
      </c>
      <c r="S116" s="34"/>
      <c r="T116" s="35">
        <f>34483</f>
        <v>34483</v>
      </c>
      <c r="U116" s="35"/>
      <c r="V116" s="35"/>
      <c r="W116" s="35">
        <f>34483</f>
        <v>34483</v>
      </c>
      <c r="X116" s="35"/>
      <c r="Y116" s="35"/>
      <c r="Z116" s="35"/>
      <c r="AA116" s="35"/>
      <c r="AB116" s="36">
        <f>0</f>
        <v>0</v>
      </c>
      <c r="AC116" s="36"/>
    </row>
    <row r="117" spans="1:29" s="1" customFormat="1" ht="13.5" customHeight="1">
      <c r="A117" s="32" t="s">
        <v>107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3" t="s">
        <v>97</v>
      </c>
      <c r="M117" s="33"/>
      <c r="N117" s="33"/>
      <c r="O117" s="33" t="s">
        <v>184</v>
      </c>
      <c r="P117" s="33"/>
      <c r="Q117" s="33"/>
      <c r="R117" s="34" t="s">
        <v>109</v>
      </c>
      <c r="S117" s="34"/>
      <c r="T117" s="35">
        <f>0</f>
        <v>0</v>
      </c>
      <c r="U117" s="35"/>
      <c r="V117" s="35"/>
      <c r="W117" s="35">
        <f>0</f>
        <v>0</v>
      </c>
      <c r="X117" s="35"/>
      <c r="Y117" s="35"/>
      <c r="Z117" s="35"/>
      <c r="AA117" s="35"/>
      <c r="AB117" s="38" t="s">
        <v>37</v>
      </c>
      <c r="AC117" s="38"/>
    </row>
    <row r="118" spans="1:29" s="1" customFormat="1" ht="13.5" customHeight="1">
      <c r="A118" s="32" t="s">
        <v>112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3" t="s">
        <v>97</v>
      </c>
      <c r="M118" s="33"/>
      <c r="N118" s="33"/>
      <c r="O118" s="33" t="s">
        <v>184</v>
      </c>
      <c r="P118" s="33"/>
      <c r="Q118" s="33"/>
      <c r="R118" s="34" t="s">
        <v>113</v>
      </c>
      <c r="S118" s="34"/>
      <c r="T118" s="35">
        <f>5399.43</f>
        <v>5399.43</v>
      </c>
      <c r="U118" s="35"/>
      <c r="V118" s="35"/>
      <c r="W118" s="35">
        <f>5399.43</f>
        <v>5399.43</v>
      </c>
      <c r="X118" s="35"/>
      <c r="Y118" s="35"/>
      <c r="Z118" s="35"/>
      <c r="AA118" s="35"/>
      <c r="AB118" s="36">
        <f>0</f>
        <v>0</v>
      </c>
      <c r="AC118" s="36"/>
    </row>
    <row r="119" spans="1:29" s="1" customFormat="1" ht="13.5" customHeight="1">
      <c r="A119" s="32" t="s">
        <v>147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3" t="s">
        <v>97</v>
      </c>
      <c r="M119" s="33"/>
      <c r="N119" s="33"/>
      <c r="O119" s="33" t="s">
        <v>185</v>
      </c>
      <c r="P119" s="33"/>
      <c r="Q119" s="33"/>
      <c r="R119" s="34" t="s">
        <v>148</v>
      </c>
      <c r="S119" s="34"/>
      <c r="T119" s="35">
        <f>238.07</f>
        <v>238.07</v>
      </c>
      <c r="U119" s="35"/>
      <c r="V119" s="35"/>
      <c r="W119" s="35">
        <f>238.07</f>
        <v>238.07</v>
      </c>
      <c r="X119" s="35"/>
      <c r="Y119" s="35"/>
      <c r="Z119" s="35"/>
      <c r="AA119" s="35"/>
      <c r="AB119" s="36">
        <f>0</f>
        <v>0</v>
      </c>
      <c r="AC119" s="36"/>
    </row>
    <row r="120" spans="1:29" s="1" customFormat="1" ht="13.5" customHeight="1">
      <c r="A120" s="32" t="s">
        <v>98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3" t="s">
        <v>97</v>
      </c>
      <c r="M120" s="33"/>
      <c r="N120" s="33"/>
      <c r="O120" s="33" t="s">
        <v>186</v>
      </c>
      <c r="P120" s="33"/>
      <c r="Q120" s="33"/>
      <c r="R120" s="34" t="s">
        <v>100</v>
      </c>
      <c r="S120" s="34"/>
      <c r="T120" s="35">
        <f>199152.61</f>
        <v>199152.61</v>
      </c>
      <c r="U120" s="35"/>
      <c r="V120" s="35"/>
      <c r="W120" s="35">
        <f>92780.35</f>
        <v>92780.35</v>
      </c>
      <c r="X120" s="35"/>
      <c r="Y120" s="35"/>
      <c r="Z120" s="35"/>
      <c r="AA120" s="35"/>
      <c r="AB120" s="36">
        <f>106372.26</f>
        <v>106372.26</v>
      </c>
      <c r="AC120" s="36"/>
    </row>
    <row r="121" spans="1:29" s="1" customFormat="1" ht="13.5" customHeight="1">
      <c r="A121" s="32" t="s">
        <v>101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 t="s">
        <v>97</v>
      </c>
      <c r="M121" s="33"/>
      <c r="N121" s="33"/>
      <c r="O121" s="33" t="s">
        <v>187</v>
      </c>
      <c r="P121" s="33"/>
      <c r="Q121" s="33"/>
      <c r="R121" s="34" t="s">
        <v>103</v>
      </c>
      <c r="S121" s="34"/>
      <c r="T121" s="35">
        <f>61044.54</f>
        <v>61044.54</v>
      </c>
      <c r="U121" s="35"/>
      <c r="V121" s="35"/>
      <c r="W121" s="35">
        <f>28053.73</f>
        <v>28053.73</v>
      </c>
      <c r="X121" s="35"/>
      <c r="Y121" s="35"/>
      <c r="Z121" s="35"/>
      <c r="AA121" s="35"/>
      <c r="AB121" s="36">
        <f>32990.81</f>
        <v>32990.81</v>
      </c>
      <c r="AC121" s="36"/>
    </row>
    <row r="122" spans="1:29" s="1" customFormat="1" ht="13.5" customHeight="1">
      <c r="A122" s="32" t="s">
        <v>98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3" t="s">
        <v>97</v>
      </c>
      <c r="M122" s="33"/>
      <c r="N122" s="33"/>
      <c r="O122" s="33" t="s">
        <v>188</v>
      </c>
      <c r="P122" s="33"/>
      <c r="Q122" s="33"/>
      <c r="R122" s="34" t="s">
        <v>100</v>
      </c>
      <c r="S122" s="34"/>
      <c r="T122" s="35">
        <f>741795.34</f>
        <v>741795.34</v>
      </c>
      <c r="U122" s="35"/>
      <c r="V122" s="35"/>
      <c r="W122" s="35">
        <f>741795.31</f>
        <v>741795.31</v>
      </c>
      <c r="X122" s="35"/>
      <c r="Y122" s="35"/>
      <c r="Z122" s="35"/>
      <c r="AA122" s="35"/>
      <c r="AB122" s="36">
        <f>0.03</f>
        <v>0.03</v>
      </c>
      <c r="AC122" s="36"/>
    </row>
    <row r="123" spans="1:29" s="1" customFormat="1" ht="13.5" customHeight="1">
      <c r="A123" s="32" t="s">
        <v>101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3" t="s">
        <v>97</v>
      </c>
      <c r="M123" s="33"/>
      <c r="N123" s="33"/>
      <c r="O123" s="33" t="s">
        <v>189</v>
      </c>
      <c r="P123" s="33"/>
      <c r="Q123" s="33"/>
      <c r="R123" s="34" t="s">
        <v>103</v>
      </c>
      <c r="S123" s="34"/>
      <c r="T123" s="35">
        <f>224022.14</f>
        <v>224022.14</v>
      </c>
      <c r="U123" s="35"/>
      <c r="V123" s="35"/>
      <c r="W123" s="35">
        <f>224022.14</f>
        <v>224022.14</v>
      </c>
      <c r="X123" s="35"/>
      <c r="Y123" s="35"/>
      <c r="Z123" s="35"/>
      <c r="AA123" s="35"/>
      <c r="AB123" s="36">
        <f>0</f>
        <v>0</v>
      </c>
      <c r="AC123" s="36"/>
    </row>
    <row r="124" spans="1:29" s="1" customFormat="1" ht="13.5" customHeight="1">
      <c r="A124" s="32" t="s">
        <v>98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3" t="s">
        <v>97</v>
      </c>
      <c r="M124" s="33"/>
      <c r="N124" s="33"/>
      <c r="O124" s="33" t="s">
        <v>190</v>
      </c>
      <c r="P124" s="33"/>
      <c r="Q124" s="33"/>
      <c r="R124" s="34" t="s">
        <v>100</v>
      </c>
      <c r="S124" s="34"/>
      <c r="T124" s="35">
        <f>0</f>
        <v>0</v>
      </c>
      <c r="U124" s="35"/>
      <c r="V124" s="35"/>
      <c r="W124" s="37" t="s">
        <v>37</v>
      </c>
      <c r="X124" s="37"/>
      <c r="Y124" s="37"/>
      <c r="Z124" s="37"/>
      <c r="AA124" s="37"/>
      <c r="AB124" s="38" t="s">
        <v>37</v>
      </c>
      <c r="AC124" s="38"/>
    </row>
    <row r="125" spans="1:29" s="1" customFormat="1" ht="13.5" customHeight="1">
      <c r="A125" s="32" t="s">
        <v>101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3" t="s">
        <v>97</v>
      </c>
      <c r="M125" s="33"/>
      <c r="N125" s="33"/>
      <c r="O125" s="33" t="s">
        <v>191</v>
      </c>
      <c r="P125" s="33"/>
      <c r="Q125" s="33"/>
      <c r="R125" s="34" t="s">
        <v>103</v>
      </c>
      <c r="S125" s="34"/>
      <c r="T125" s="35">
        <f>0</f>
        <v>0</v>
      </c>
      <c r="U125" s="35"/>
      <c r="V125" s="35"/>
      <c r="W125" s="37" t="s">
        <v>37</v>
      </c>
      <c r="X125" s="37"/>
      <c r="Y125" s="37"/>
      <c r="Z125" s="37"/>
      <c r="AA125" s="37"/>
      <c r="AB125" s="38" t="s">
        <v>37</v>
      </c>
      <c r="AC125" s="38"/>
    </row>
    <row r="126" spans="1:29" s="1" customFormat="1" ht="13.5" customHeight="1">
      <c r="A126" s="32" t="s">
        <v>98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3" t="s">
        <v>97</v>
      </c>
      <c r="M126" s="33"/>
      <c r="N126" s="33"/>
      <c r="O126" s="33" t="s">
        <v>192</v>
      </c>
      <c r="P126" s="33"/>
      <c r="Q126" s="33"/>
      <c r="R126" s="34" t="s">
        <v>100</v>
      </c>
      <c r="S126" s="34"/>
      <c r="T126" s="35">
        <f>109.35</f>
        <v>109.35</v>
      </c>
      <c r="U126" s="35"/>
      <c r="V126" s="35"/>
      <c r="W126" s="35">
        <f>109.35</f>
        <v>109.35</v>
      </c>
      <c r="X126" s="35"/>
      <c r="Y126" s="35"/>
      <c r="Z126" s="35"/>
      <c r="AA126" s="35"/>
      <c r="AB126" s="36">
        <f>0</f>
        <v>0</v>
      </c>
      <c r="AC126" s="36"/>
    </row>
    <row r="127" spans="1:29" s="1" customFormat="1" ht="13.5" customHeight="1">
      <c r="A127" s="32" t="s">
        <v>101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3" t="s">
        <v>97</v>
      </c>
      <c r="M127" s="33"/>
      <c r="N127" s="33"/>
      <c r="O127" s="33" t="s">
        <v>193</v>
      </c>
      <c r="P127" s="33"/>
      <c r="Q127" s="33"/>
      <c r="R127" s="34" t="s">
        <v>103</v>
      </c>
      <c r="S127" s="34"/>
      <c r="T127" s="35">
        <f>33.03</f>
        <v>33.03</v>
      </c>
      <c r="U127" s="35"/>
      <c r="V127" s="35"/>
      <c r="W127" s="35">
        <f>33.03</f>
        <v>33.03</v>
      </c>
      <c r="X127" s="35"/>
      <c r="Y127" s="35"/>
      <c r="Z127" s="35"/>
      <c r="AA127" s="35"/>
      <c r="AB127" s="36">
        <f>0</f>
        <v>0</v>
      </c>
      <c r="AC127" s="36"/>
    </row>
    <row r="128" spans="1:29" s="1" customFormat="1" ht="13.5" customHeight="1">
      <c r="A128" s="32" t="s">
        <v>112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3" t="s">
        <v>97</v>
      </c>
      <c r="M128" s="33"/>
      <c r="N128" s="33"/>
      <c r="O128" s="33" t="s">
        <v>194</v>
      </c>
      <c r="P128" s="33"/>
      <c r="Q128" s="33"/>
      <c r="R128" s="34" t="s">
        <v>113</v>
      </c>
      <c r="S128" s="34"/>
      <c r="T128" s="35">
        <f>14095.23</f>
        <v>14095.23</v>
      </c>
      <c r="U128" s="35"/>
      <c r="V128" s="35"/>
      <c r="W128" s="35">
        <f>14095.23</f>
        <v>14095.23</v>
      </c>
      <c r="X128" s="35"/>
      <c r="Y128" s="35"/>
      <c r="Z128" s="35"/>
      <c r="AA128" s="35"/>
      <c r="AB128" s="36">
        <f>0</f>
        <v>0</v>
      </c>
      <c r="AC128" s="36"/>
    </row>
    <row r="129" spans="1:29" s="1" customFormat="1" ht="13.5" customHeight="1">
      <c r="A129" s="32" t="s">
        <v>112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3" t="s">
        <v>97</v>
      </c>
      <c r="M129" s="33"/>
      <c r="N129" s="33"/>
      <c r="O129" s="33" t="s">
        <v>195</v>
      </c>
      <c r="P129" s="33"/>
      <c r="Q129" s="33"/>
      <c r="R129" s="34" t="s">
        <v>113</v>
      </c>
      <c r="S129" s="34"/>
      <c r="T129" s="35">
        <f>45904.77</f>
        <v>45904.77</v>
      </c>
      <c r="U129" s="35"/>
      <c r="V129" s="35"/>
      <c r="W129" s="35">
        <f>45904.77</f>
        <v>45904.77</v>
      </c>
      <c r="X129" s="35"/>
      <c r="Y129" s="35"/>
      <c r="Z129" s="35"/>
      <c r="AA129" s="35"/>
      <c r="AB129" s="36">
        <f>0</f>
        <v>0</v>
      </c>
      <c r="AC129" s="36"/>
    </row>
    <row r="130" spans="1:29" s="1" customFormat="1" ht="13.5" customHeight="1">
      <c r="A130" s="32" t="s">
        <v>124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3" t="s">
        <v>97</v>
      </c>
      <c r="M130" s="33"/>
      <c r="N130" s="33"/>
      <c r="O130" s="33" t="s">
        <v>196</v>
      </c>
      <c r="P130" s="33"/>
      <c r="Q130" s="33"/>
      <c r="R130" s="34" t="s">
        <v>126</v>
      </c>
      <c r="S130" s="34"/>
      <c r="T130" s="35">
        <f>1029600</f>
        <v>1029600</v>
      </c>
      <c r="U130" s="35"/>
      <c r="V130" s="35"/>
      <c r="W130" s="35">
        <f>1029600</f>
        <v>1029600</v>
      </c>
      <c r="X130" s="35"/>
      <c r="Y130" s="35"/>
      <c r="Z130" s="35"/>
      <c r="AA130" s="35"/>
      <c r="AB130" s="36">
        <f>0</f>
        <v>0</v>
      </c>
      <c r="AC130" s="36"/>
    </row>
    <row r="131" spans="1:29" s="1" customFormat="1" ht="13.5" customHeight="1">
      <c r="A131" s="32" t="s">
        <v>124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3" t="s">
        <v>97</v>
      </c>
      <c r="M131" s="33"/>
      <c r="N131" s="33"/>
      <c r="O131" s="33" t="s">
        <v>197</v>
      </c>
      <c r="P131" s="33"/>
      <c r="Q131" s="33"/>
      <c r="R131" s="34" t="s">
        <v>126</v>
      </c>
      <c r="S131" s="34"/>
      <c r="T131" s="35">
        <f>750000</f>
        <v>750000</v>
      </c>
      <c r="U131" s="35"/>
      <c r="V131" s="35"/>
      <c r="W131" s="35">
        <f>675000</f>
        <v>675000</v>
      </c>
      <c r="X131" s="35"/>
      <c r="Y131" s="35"/>
      <c r="Z131" s="35"/>
      <c r="AA131" s="35"/>
      <c r="AB131" s="36">
        <f>75000</f>
        <v>75000</v>
      </c>
      <c r="AC131" s="36"/>
    </row>
    <row r="132" spans="1:29" s="1" customFormat="1" ht="13.5" customHeight="1">
      <c r="A132" s="32" t="s">
        <v>155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3" t="s">
        <v>97</v>
      </c>
      <c r="M132" s="33"/>
      <c r="N132" s="33"/>
      <c r="O132" s="33" t="s">
        <v>198</v>
      </c>
      <c r="P132" s="33"/>
      <c r="Q132" s="33"/>
      <c r="R132" s="34" t="s">
        <v>156</v>
      </c>
      <c r="S132" s="34"/>
      <c r="T132" s="35">
        <f>450000</f>
        <v>450000</v>
      </c>
      <c r="U132" s="35"/>
      <c r="V132" s="35"/>
      <c r="W132" s="35">
        <f>404800</f>
        <v>404800</v>
      </c>
      <c r="X132" s="35"/>
      <c r="Y132" s="35"/>
      <c r="Z132" s="35"/>
      <c r="AA132" s="35"/>
      <c r="AB132" s="36">
        <f>45200</f>
        <v>45200</v>
      </c>
      <c r="AC132" s="36"/>
    </row>
    <row r="133" spans="1:29" s="1" customFormat="1" ht="13.5" customHeight="1">
      <c r="A133" s="32" t="s">
        <v>145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3" t="s">
        <v>97</v>
      </c>
      <c r="M133" s="33"/>
      <c r="N133" s="33"/>
      <c r="O133" s="33" t="s">
        <v>199</v>
      </c>
      <c r="P133" s="33"/>
      <c r="Q133" s="33"/>
      <c r="R133" s="34" t="s">
        <v>146</v>
      </c>
      <c r="S133" s="34"/>
      <c r="T133" s="35">
        <f>1017115.65</f>
        <v>1017115.65</v>
      </c>
      <c r="U133" s="35"/>
      <c r="V133" s="35"/>
      <c r="W133" s="35">
        <f>860565.82</f>
        <v>860565.82</v>
      </c>
      <c r="X133" s="35"/>
      <c r="Y133" s="35"/>
      <c r="Z133" s="35"/>
      <c r="AA133" s="35"/>
      <c r="AB133" s="36">
        <f>156549.83</f>
        <v>156549.83</v>
      </c>
      <c r="AC133" s="36"/>
    </row>
    <row r="134" spans="1:29" s="1" customFormat="1" ht="13.5" customHeight="1">
      <c r="A134" s="32" t="s">
        <v>124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3" t="s">
        <v>97</v>
      </c>
      <c r="M134" s="33"/>
      <c r="N134" s="33"/>
      <c r="O134" s="33" t="s">
        <v>200</v>
      </c>
      <c r="P134" s="33"/>
      <c r="Q134" s="33"/>
      <c r="R134" s="34" t="s">
        <v>126</v>
      </c>
      <c r="S134" s="34"/>
      <c r="T134" s="35">
        <f>334090.67</f>
        <v>334090.67</v>
      </c>
      <c r="U134" s="35"/>
      <c r="V134" s="35"/>
      <c r="W134" s="35">
        <f>199169</f>
        <v>199169</v>
      </c>
      <c r="X134" s="35"/>
      <c r="Y134" s="35"/>
      <c r="Z134" s="35"/>
      <c r="AA134" s="35"/>
      <c r="AB134" s="36">
        <f>134921.67</f>
        <v>134921.67</v>
      </c>
      <c r="AC134" s="36"/>
    </row>
    <row r="135" spans="1:29" s="1" customFormat="1" ht="13.5" customHeight="1">
      <c r="A135" s="32" t="s">
        <v>151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3" t="s">
        <v>97</v>
      </c>
      <c r="M135" s="33"/>
      <c r="N135" s="33"/>
      <c r="O135" s="33" t="s">
        <v>200</v>
      </c>
      <c r="P135" s="33"/>
      <c r="Q135" s="33"/>
      <c r="R135" s="34" t="s">
        <v>152</v>
      </c>
      <c r="S135" s="34"/>
      <c r="T135" s="35">
        <f>686640</f>
        <v>686640</v>
      </c>
      <c r="U135" s="35"/>
      <c r="V135" s="35"/>
      <c r="W135" s="35">
        <f>600240</f>
        <v>600240</v>
      </c>
      <c r="X135" s="35"/>
      <c r="Y135" s="35"/>
      <c r="Z135" s="35"/>
      <c r="AA135" s="35"/>
      <c r="AB135" s="36">
        <f>86400</f>
        <v>86400</v>
      </c>
      <c r="AC135" s="36"/>
    </row>
    <row r="136" spans="1:29" s="1" customFormat="1" ht="13.5" customHeight="1">
      <c r="A136" s="32" t="s">
        <v>124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 t="s">
        <v>97</v>
      </c>
      <c r="M136" s="33"/>
      <c r="N136" s="33"/>
      <c r="O136" s="33" t="s">
        <v>201</v>
      </c>
      <c r="P136" s="33"/>
      <c r="Q136" s="33"/>
      <c r="R136" s="34" t="s">
        <v>126</v>
      </c>
      <c r="S136" s="34"/>
      <c r="T136" s="35">
        <f>5448876</f>
        <v>5448876</v>
      </c>
      <c r="U136" s="35"/>
      <c r="V136" s="35"/>
      <c r="W136" s="35">
        <f>5448876</f>
        <v>5448876</v>
      </c>
      <c r="X136" s="35"/>
      <c r="Y136" s="35"/>
      <c r="Z136" s="35"/>
      <c r="AA136" s="35"/>
      <c r="AB136" s="36">
        <f>0</f>
        <v>0</v>
      </c>
      <c r="AC136" s="36"/>
    </row>
    <row r="137" spans="1:29" s="1" customFormat="1" ht="13.5" customHeight="1">
      <c r="A137" s="32" t="s">
        <v>124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3" t="s">
        <v>97</v>
      </c>
      <c r="M137" s="33"/>
      <c r="N137" s="33"/>
      <c r="O137" s="33" t="s">
        <v>202</v>
      </c>
      <c r="P137" s="33"/>
      <c r="Q137" s="33"/>
      <c r="R137" s="34" t="s">
        <v>126</v>
      </c>
      <c r="S137" s="34"/>
      <c r="T137" s="35">
        <f>950000</f>
        <v>950000</v>
      </c>
      <c r="U137" s="35"/>
      <c r="V137" s="35"/>
      <c r="W137" s="35">
        <f>950000</f>
        <v>950000</v>
      </c>
      <c r="X137" s="35"/>
      <c r="Y137" s="35"/>
      <c r="Z137" s="35"/>
      <c r="AA137" s="35"/>
      <c r="AB137" s="36">
        <f>0</f>
        <v>0</v>
      </c>
      <c r="AC137" s="36"/>
    </row>
    <row r="138" spans="1:29" s="1" customFormat="1" ht="13.5" customHeight="1">
      <c r="A138" s="32" t="s">
        <v>112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3" t="s">
        <v>97</v>
      </c>
      <c r="M138" s="33"/>
      <c r="N138" s="33"/>
      <c r="O138" s="33" t="s">
        <v>203</v>
      </c>
      <c r="P138" s="33"/>
      <c r="Q138" s="33"/>
      <c r="R138" s="34" t="s">
        <v>113</v>
      </c>
      <c r="S138" s="34"/>
      <c r="T138" s="35">
        <f>75000</f>
        <v>75000</v>
      </c>
      <c r="U138" s="35"/>
      <c r="V138" s="35"/>
      <c r="W138" s="35">
        <f>28420</f>
        <v>28420</v>
      </c>
      <c r="X138" s="35"/>
      <c r="Y138" s="35"/>
      <c r="Z138" s="35"/>
      <c r="AA138" s="35"/>
      <c r="AB138" s="36">
        <f>46580</f>
        <v>46580</v>
      </c>
      <c r="AC138" s="36"/>
    </row>
    <row r="139" spans="1:29" s="1" customFormat="1" ht="13.5" customHeight="1">
      <c r="A139" s="32" t="s">
        <v>124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3" t="s">
        <v>97</v>
      </c>
      <c r="M139" s="33"/>
      <c r="N139" s="33"/>
      <c r="O139" s="33" t="s">
        <v>204</v>
      </c>
      <c r="P139" s="33"/>
      <c r="Q139" s="33"/>
      <c r="R139" s="34" t="s">
        <v>126</v>
      </c>
      <c r="S139" s="34"/>
      <c r="T139" s="35">
        <f>350000</f>
        <v>350000</v>
      </c>
      <c r="U139" s="35"/>
      <c r="V139" s="35"/>
      <c r="W139" s="35">
        <f>350000</f>
        <v>350000</v>
      </c>
      <c r="X139" s="35"/>
      <c r="Y139" s="35"/>
      <c r="Z139" s="35"/>
      <c r="AA139" s="35"/>
      <c r="AB139" s="36">
        <f>0</f>
        <v>0</v>
      </c>
      <c r="AC139" s="36"/>
    </row>
    <row r="140" spans="1:29" s="1" customFormat="1" ht="13.5" customHeight="1">
      <c r="A140" s="32" t="s">
        <v>112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 t="s">
        <v>97</v>
      </c>
      <c r="M140" s="33"/>
      <c r="N140" s="33"/>
      <c r="O140" s="33" t="s">
        <v>205</v>
      </c>
      <c r="P140" s="33"/>
      <c r="Q140" s="33"/>
      <c r="R140" s="34" t="s">
        <v>113</v>
      </c>
      <c r="S140" s="34"/>
      <c r="T140" s="35">
        <f>414695</f>
        <v>414695</v>
      </c>
      <c r="U140" s="35"/>
      <c r="V140" s="35"/>
      <c r="W140" s="35">
        <f>414695</f>
        <v>414695</v>
      </c>
      <c r="X140" s="35"/>
      <c r="Y140" s="35"/>
      <c r="Z140" s="35"/>
      <c r="AA140" s="35"/>
      <c r="AB140" s="36">
        <f>0</f>
        <v>0</v>
      </c>
      <c r="AC140" s="36"/>
    </row>
    <row r="141" spans="1:29" s="1" customFormat="1" ht="13.5" customHeight="1">
      <c r="A141" s="32" t="s">
        <v>112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3" t="s">
        <v>97</v>
      </c>
      <c r="M141" s="33"/>
      <c r="N141" s="33"/>
      <c r="O141" s="33" t="s">
        <v>206</v>
      </c>
      <c r="P141" s="33"/>
      <c r="Q141" s="33"/>
      <c r="R141" s="34" t="s">
        <v>113</v>
      </c>
      <c r="S141" s="34"/>
      <c r="T141" s="35">
        <f>0</f>
        <v>0</v>
      </c>
      <c r="U141" s="35"/>
      <c r="V141" s="35"/>
      <c r="W141" s="37" t="s">
        <v>37</v>
      </c>
      <c r="X141" s="37"/>
      <c r="Y141" s="37"/>
      <c r="Z141" s="37"/>
      <c r="AA141" s="37"/>
      <c r="AB141" s="38" t="s">
        <v>37</v>
      </c>
      <c r="AC141" s="38"/>
    </row>
    <row r="142" spans="1:29" s="1" customFormat="1" ht="13.5" customHeight="1">
      <c r="A142" s="32" t="s">
        <v>155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3" t="s">
        <v>97</v>
      </c>
      <c r="M142" s="33"/>
      <c r="N142" s="33"/>
      <c r="O142" s="33" t="s">
        <v>207</v>
      </c>
      <c r="P142" s="33"/>
      <c r="Q142" s="33"/>
      <c r="R142" s="34" t="s">
        <v>156</v>
      </c>
      <c r="S142" s="34"/>
      <c r="T142" s="35">
        <f>31046</f>
        <v>31046</v>
      </c>
      <c r="U142" s="35"/>
      <c r="V142" s="35"/>
      <c r="W142" s="35">
        <f>31046</f>
        <v>31046</v>
      </c>
      <c r="X142" s="35"/>
      <c r="Y142" s="35"/>
      <c r="Z142" s="35"/>
      <c r="AA142" s="35"/>
      <c r="AB142" s="36">
        <f>0</f>
        <v>0</v>
      </c>
      <c r="AC142" s="36"/>
    </row>
    <row r="143" spans="1:29" s="1" customFormat="1" ht="13.5" customHeight="1">
      <c r="A143" s="32" t="s">
        <v>124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3" t="s">
        <v>97</v>
      </c>
      <c r="M143" s="33"/>
      <c r="N143" s="33"/>
      <c r="O143" s="33" t="s">
        <v>208</v>
      </c>
      <c r="P143" s="33"/>
      <c r="Q143" s="33"/>
      <c r="R143" s="34" t="s">
        <v>126</v>
      </c>
      <c r="S143" s="34"/>
      <c r="T143" s="35">
        <f>0</f>
        <v>0</v>
      </c>
      <c r="U143" s="35"/>
      <c r="V143" s="35"/>
      <c r="W143" s="37" t="s">
        <v>37</v>
      </c>
      <c r="X143" s="37"/>
      <c r="Y143" s="37"/>
      <c r="Z143" s="37"/>
      <c r="AA143" s="37"/>
      <c r="AB143" s="38" t="s">
        <v>37</v>
      </c>
      <c r="AC143" s="38"/>
    </row>
    <row r="144" spans="1:29" s="1" customFormat="1" ht="13.5" customHeight="1">
      <c r="A144" s="32" t="s">
        <v>155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 t="s">
        <v>97</v>
      </c>
      <c r="M144" s="33"/>
      <c r="N144" s="33"/>
      <c r="O144" s="33" t="s">
        <v>208</v>
      </c>
      <c r="P144" s="33"/>
      <c r="Q144" s="33"/>
      <c r="R144" s="34" t="s">
        <v>156</v>
      </c>
      <c r="S144" s="34"/>
      <c r="T144" s="35">
        <f>58870</f>
        <v>58870</v>
      </c>
      <c r="U144" s="35"/>
      <c r="V144" s="35"/>
      <c r="W144" s="35">
        <f>58870</f>
        <v>58870</v>
      </c>
      <c r="X144" s="35"/>
      <c r="Y144" s="35"/>
      <c r="Z144" s="35"/>
      <c r="AA144" s="35"/>
      <c r="AB144" s="36">
        <f>0</f>
        <v>0</v>
      </c>
      <c r="AC144" s="36"/>
    </row>
    <row r="145" spans="1:29" s="1" customFormat="1" ht="13.5" customHeight="1">
      <c r="A145" s="32" t="s">
        <v>124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3" t="s">
        <v>97</v>
      </c>
      <c r="M145" s="33"/>
      <c r="N145" s="33"/>
      <c r="O145" s="33" t="s">
        <v>209</v>
      </c>
      <c r="P145" s="33"/>
      <c r="Q145" s="33"/>
      <c r="R145" s="34" t="s">
        <v>126</v>
      </c>
      <c r="S145" s="34"/>
      <c r="T145" s="35">
        <f>0</f>
        <v>0</v>
      </c>
      <c r="U145" s="35"/>
      <c r="V145" s="35"/>
      <c r="W145" s="37" t="s">
        <v>37</v>
      </c>
      <c r="X145" s="37"/>
      <c r="Y145" s="37"/>
      <c r="Z145" s="37"/>
      <c r="AA145" s="37"/>
      <c r="AB145" s="38" t="s">
        <v>37</v>
      </c>
      <c r="AC145" s="38"/>
    </row>
    <row r="146" spans="1:29" s="1" customFormat="1" ht="13.5" customHeight="1">
      <c r="A146" s="32" t="s">
        <v>155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3" t="s">
        <v>97</v>
      </c>
      <c r="M146" s="33"/>
      <c r="N146" s="33"/>
      <c r="O146" s="33" t="s">
        <v>209</v>
      </c>
      <c r="P146" s="33"/>
      <c r="Q146" s="33"/>
      <c r="R146" s="34" t="s">
        <v>156</v>
      </c>
      <c r="S146" s="34"/>
      <c r="T146" s="35">
        <f>0</f>
        <v>0</v>
      </c>
      <c r="U146" s="35"/>
      <c r="V146" s="35"/>
      <c r="W146" s="37" t="s">
        <v>37</v>
      </c>
      <c r="X146" s="37"/>
      <c r="Y146" s="37"/>
      <c r="Z146" s="37"/>
      <c r="AA146" s="37"/>
      <c r="AB146" s="38" t="s">
        <v>37</v>
      </c>
      <c r="AC146" s="38"/>
    </row>
    <row r="147" spans="1:29" s="1" customFormat="1" ht="13.5" customHeight="1">
      <c r="A147" s="32" t="s">
        <v>143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3" t="s">
        <v>97</v>
      </c>
      <c r="M147" s="33"/>
      <c r="N147" s="33"/>
      <c r="O147" s="33" t="s">
        <v>210</v>
      </c>
      <c r="P147" s="33"/>
      <c r="Q147" s="33"/>
      <c r="R147" s="34" t="s">
        <v>144</v>
      </c>
      <c r="S147" s="34"/>
      <c r="T147" s="35">
        <f>25000</f>
        <v>25000</v>
      </c>
      <c r="U147" s="35"/>
      <c r="V147" s="35"/>
      <c r="W147" s="35">
        <f>25000</f>
        <v>25000</v>
      </c>
      <c r="X147" s="35"/>
      <c r="Y147" s="35"/>
      <c r="Z147" s="35"/>
      <c r="AA147" s="35"/>
      <c r="AB147" s="36">
        <f>0</f>
        <v>0</v>
      </c>
      <c r="AC147" s="36"/>
    </row>
    <row r="148" spans="1:29" s="1" customFormat="1" ht="13.5" customHeight="1">
      <c r="A148" s="32" t="s">
        <v>151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3" t="s">
        <v>97</v>
      </c>
      <c r="M148" s="33"/>
      <c r="N148" s="33"/>
      <c r="O148" s="33" t="s">
        <v>210</v>
      </c>
      <c r="P148" s="33"/>
      <c r="Q148" s="33"/>
      <c r="R148" s="34" t="s">
        <v>152</v>
      </c>
      <c r="S148" s="34"/>
      <c r="T148" s="35">
        <f>174900</f>
        <v>174900</v>
      </c>
      <c r="U148" s="35"/>
      <c r="V148" s="35"/>
      <c r="W148" s="35">
        <f>174900</f>
        <v>174900</v>
      </c>
      <c r="X148" s="35"/>
      <c r="Y148" s="35"/>
      <c r="Z148" s="35"/>
      <c r="AA148" s="35"/>
      <c r="AB148" s="36">
        <f>0</f>
        <v>0</v>
      </c>
      <c r="AC148" s="36"/>
    </row>
    <row r="149" spans="1:29" s="1" customFormat="1" ht="13.5" customHeight="1">
      <c r="A149" s="32" t="s">
        <v>112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3" t="s">
        <v>97</v>
      </c>
      <c r="M149" s="33"/>
      <c r="N149" s="33"/>
      <c r="O149" s="33" t="s">
        <v>211</v>
      </c>
      <c r="P149" s="33"/>
      <c r="Q149" s="33"/>
      <c r="R149" s="34" t="s">
        <v>113</v>
      </c>
      <c r="S149" s="34"/>
      <c r="T149" s="35">
        <f>62400</f>
        <v>62400</v>
      </c>
      <c r="U149" s="35"/>
      <c r="V149" s="35"/>
      <c r="W149" s="35">
        <f>57864</f>
        <v>57864</v>
      </c>
      <c r="X149" s="35"/>
      <c r="Y149" s="35"/>
      <c r="Z149" s="35"/>
      <c r="AA149" s="35"/>
      <c r="AB149" s="36">
        <f>4536</f>
        <v>4536</v>
      </c>
      <c r="AC149" s="36"/>
    </row>
    <row r="150" spans="1:29" s="1" customFormat="1" ht="13.5" customHeight="1">
      <c r="A150" s="32" t="s">
        <v>145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3" t="s">
        <v>97</v>
      </c>
      <c r="M150" s="33"/>
      <c r="N150" s="33"/>
      <c r="O150" s="33" t="s">
        <v>212</v>
      </c>
      <c r="P150" s="33"/>
      <c r="Q150" s="33"/>
      <c r="R150" s="34" t="s">
        <v>146</v>
      </c>
      <c r="S150" s="34"/>
      <c r="T150" s="35">
        <f>500000</f>
        <v>500000</v>
      </c>
      <c r="U150" s="35"/>
      <c r="V150" s="35"/>
      <c r="W150" s="35">
        <f>349000.08</f>
        <v>349000.08</v>
      </c>
      <c r="X150" s="35"/>
      <c r="Y150" s="35"/>
      <c r="Z150" s="35"/>
      <c r="AA150" s="35"/>
      <c r="AB150" s="36">
        <f>150999.92</f>
        <v>150999.92</v>
      </c>
      <c r="AC150" s="36"/>
    </row>
    <row r="151" spans="1:29" s="1" customFormat="1" ht="13.5" customHeight="1">
      <c r="A151" s="32" t="s">
        <v>155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 t="s">
        <v>97</v>
      </c>
      <c r="M151" s="33"/>
      <c r="N151" s="33"/>
      <c r="O151" s="33" t="s">
        <v>212</v>
      </c>
      <c r="P151" s="33"/>
      <c r="Q151" s="33"/>
      <c r="R151" s="34" t="s">
        <v>156</v>
      </c>
      <c r="S151" s="34"/>
      <c r="T151" s="35">
        <f>2591.38</f>
        <v>2591.38</v>
      </c>
      <c r="U151" s="35"/>
      <c r="V151" s="35"/>
      <c r="W151" s="35">
        <f>660</f>
        <v>660</v>
      </c>
      <c r="X151" s="35"/>
      <c r="Y151" s="35"/>
      <c r="Z151" s="35"/>
      <c r="AA151" s="35"/>
      <c r="AB151" s="36">
        <f>1931.38</f>
        <v>1931.38</v>
      </c>
      <c r="AC151" s="36"/>
    </row>
    <row r="152" spans="1:29" s="1" customFormat="1" ht="13.5" customHeight="1">
      <c r="A152" s="32" t="s">
        <v>124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3" t="s">
        <v>97</v>
      </c>
      <c r="M152" s="33"/>
      <c r="N152" s="33"/>
      <c r="O152" s="33" t="s">
        <v>213</v>
      </c>
      <c r="P152" s="33"/>
      <c r="Q152" s="33"/>
      <c r="R152" s="34" t="s">
        <v>126</v>
      </c>
      <c r="S152" s="34"/>
      <c r="T152" s="35">
        <f>94392.72</f>
        <v>94392.72</v>
      </c>
      <c r="U152" s="35"/>
      <c r="V152" s="35"/>
      <c r="W152" s="35">
        <f>53306.15</f>
        <v>53306.15</v>
      </c>
      <c r="X152" s="35"/>
      <c r="Y152" s="35"/>
      <c r="Z152" s="35"/>
      <c r="AA152" s="35"/>
      <c r="AB152" s="36">
        <f>41086.57</f>
        <v>41086.57</v>
      </c>
      <c r="AC152" s="36"/>
    </row>
    <row r="153" spans="1:29" s="1" customFormat="1" ht="13.5" customHeight="1">
      <c r="A153" s="32" t="s">
        <v>119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3" t="s">
        <v>97</v>
      </c>
      <c r="M153" s="33"/>
      <c r="N153" s="33"/>
      <c r="O153" s="33" t="s">
        <v>214</v>
      </c>
      <c r="P153" s="33"/>
      <c r="Q153" s="33"/>
      <c r="R153" s="34" t="s">
        <v>121</v>
      </c>
      <c r="S153" s="34"/>
      <c r="T153" s="35">
        <f>0</f>
        <v>0</v>
      </c>
      <c r="U153" s="35"/>
      <c r="V153" s="35"/>
      <c r="W153" s="37" t="s">
        <v>37</v>
      </c>
      <c r="X153" s="37"/>
      <c r="Y153" s="37"/>
      <c r="Z153" s="37"/>
      <c r="AA153" s="37"/>
      <c r="AB153" s="38" t="s">
        <v>37</v>
      </c>
      <c r="AC153" s="38"/>
    </row>
    <row r="154" spans="1:29" s="1" customFormat="1" ht="13.5" customHeight="1">
      <c r="A154" s="32" t="s">
        <v>119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 t="s">
        <v>97</v>
      </c>
      <c r="M154" s="33"/>
      <c r="N154" s="33"/>
      <c r="O154" s="33" t="s">
        <v>215</v>
      </c>
      <c r="P154" s="33"/>
      <c r="Q154" s="33"/>
      <c r="R154" s="34" t="s">
        <v>121</v>
      </c>
      <c r="S154" s="34"/>
      <c r="T154" s="35">
        <f>0</f>
        <v>0</v>
      </c>
      <c r="U154" s="35"/>
      <c r="V154" s="35"/>
      <c r="W154" s="37" t="s">
        <v>37</v>
      </c>
      <c r="X154" s="37"/>
      <c r="Y154" s="37"/>
      <c r="Z154" s="37"/>
      <c r="AA154" s="37"/>
      <c r="AB154" s="38" t="s">
        <v>37</v>
      </c>
      <c r="AC154" s="38"/>
    </row>
    <row r="155" spans="1:29" s="1" customFormat="1" ht="13.5" customHeight="1">
      <c r="A155" s="32" t="s">
        <v>112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3" t="s">
        <v>97</v>
      </c>
      <c r="M155" s="33"/>
      <c r="N155" s="33"/>
      <c r="O155" s="33" t="s">
        <v>216</v>
      </c>
      <c r="P155" s="33"/>
      <c r="Q155" s="33"/>
      <c r="R155" s="34" t="s">
        <v>113</v>
      </c>
      <c r="S155" s="34"/>
      <c r="T155" s="35">
        <f>34110</f>
        <v>34110</v>
      </c>
      <c r="U155" s="35"/>
      <c r="V155" s="35"/>
      <c r="W155" s="35">
        <f>34110</f>
        <v>34110</v>
      </c>
      <c r="X155" s="35"/>
      <c r="Y155" s="35"/>
      <c r="Z155" s="35"/>
      <c r="AA155" s="35"/>
      <c r="AB155" s="36">
        <f>0</f>
        <v>0</v>
      </c>
      <c r="AC155" s="36"/>
    </row>
    <row r="156" spans="1:29" s="1" customFormat="1" ht="13.5" customHeight="1">
      <c r="A156" s="32" t="s">
        <v>112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3" t="s">
        <v>97</v>
      </c>
      <c r="M156" s="33"/>
      <c r="N156" s="33"/>
      <c r="O156" s="33" t="s">
        <v>217</v>
      </c>
      <c r="P156" s="33"/>
      <c r="Q156" s="33"/>
      <c r="R156" s="34" t="s">
        <v>113</v>
      </c>
      <c r="S156" s="34"/>
      <c r="T156" s="35">
        <f>7600</f>
        <v>7600</v>
      </c>
      <c r="U156" s="35"/>
      <c r="V156" s="35"/>
      <c r="W156" s="35">
        <f>7600</f>
        <v>7600</v>
      </c>
      <c r="X156" s="35"/>
      <c r="Y156" s="35"/>
      <c r="Z156" s="35"/>
      <c r="AA156" s="35"/>
      <c r="AB156" s="36">
        <f>0</f>
        <v>0</v>
      </c>
      <c r="AC156" s="36"/>
    </row>
    <row r="157" spans="1:29" s="1" customFormat="1" ht="13.5" customHeight="1">
      <c r="A157" s="32" t="s">
        <v>124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3" t="s">
        <v>97</v>
      </c>
      <c r="M157" s="33"/>
      <c r="N157" s="33"/>
      <c r="O157" s="33" t="s">
        <v>218</v>
      </c>
      <c r="P157" s="33"/>
      <c r="Q157" s="33"/>
      <c r="R157" s="34" t="s">
        <v>126</v>
      </c>
      <c r="S157" s="34"/>
      <c r="T157" s="35">
        <f>70000</f>
        <v>70000</v>
      </c>
      <c r="U157" s="35"/>
      <c r="V157" s="35"/>
      <c r="W157" s="35">
        <f>70000</f>
        <v>70000</v>
      </c>
      <c r="X157" s="35"/>
      <c r="Y157" s="35"/>
      <c r="Z157" s="35"/>
      <c r="AA157" s="35"/>
      <c r="AB157" s="36">
        <f>0</f>
        <v>0</v>
      </c>
      <c r="AC157" s="36"/>
    </row>
    <row r="158" spans="1:29" s="1" customFormat="1" ht="13.5" customHeight="1">
      <c r="A158" s="32" t="s">
        <v>143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3" t="s">
        <v>97</v>
      </c>
      <c r="M158" s="33"/>
      <c r="N158" s="33"/>
      <c r="O158" s="33" t="s">
        <v>219</v>
      </c>
      <c r="P158" s="33"/>
      <c r="Q158" s="33"/>
      <c r="R158" s="34" t="s">
        <v>144</v>
      </c>
      <c r="S158" s="34"/>
      <c r="T158" s="35">
        <f>208138</f>
        <v>208138</v>
      </c>
      <c r="U158" s="35"/>
      <c r="V158" s="35"/>
      <c r="W158" s="35">
        <f>208138</f>
        <v>208138</v>
      </c>
      <c r="X158" s="35"/>
      <c r="Y158" s="35"/>
      <c r="Z158" s="35"/>
      <c r="AA158" s="35"/>
      <c r="AB158" s="36">
        <f>0</f>
        <v>0</v>
      </c>
      <c r="AC158" s="36"/>
    </row>
    <row r="159" spans="1:29" s="1" customFormat="1" ht="13.5" customHeight="1">
      <c r="A159" s="32" t="s">
        <v>143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3" t="s">
        <v>97</v>
      </c>
      <c r="M159" s="33"/>
      <c r="N159" s="33"/>
      <c r="O159" s="33" t="s">
        <v>220</v>
      </c>
      <c r="P159" s="33"/>
      <c r="Q159" s="33"/>
      <c r="R159" s="34" t="s">
        <v>144</v>
      </c>
      <c r="S159" s="34"/>
      <c r="T159" s="35">
        <f>0</f>
        <v>0</v>
      </c>
      <c r="U159" s="35"/>
      <c r="V159" s="35"/>
      <c r="W159" s="35">
        <f>0</f>
        <v>0</v>
      </c>
      <c r="X159" s="35"/>
      <c r="Y159" s="35"/>
      <c r="Z159" s="35"/>
      <c r="AA159" s="35"/>
      <c r="AB159" s="38" t="s">
        <v>37</v>
      </c>
      <c r="AC159" s="38"/>
    </row>
    <row r="160" spans="1:29" s="1" customFormat="1" ht="13.5" customHeight="1">
      <c r="A160" s="32" t="s">
        <v>137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3" t="s">
        <v>97</v>
      </c>
      <c r="M160" s="33"/>
      <c r="N160" s="33"/>
      <c r="O160" s="33" t="s">
        <v>220</v>
      </c>
      <c r="P160" s="33"/>
      <c r="Q160" s="33"/>
      <c r="R160" s="34" t="s">
        <v>139</v>
      </c>
      <c r="S160" s="34"/>
      <c r="T160" s="35">
        <f>260758.84</f>
        <v>260758.84</v>
      </c>
      <c r="U160" s="35"/>
      <c r="V160" s="35"/>
      <c r="W160" s="35">
        <f>260758.84</f>
        <v>260758.84</v>
      </c>
      <c r="X160" s="35"/>
      <c r="Y160" s="35"/>
      <c r="Z160" s="35"/>
      <c r="AA160" s="35"/>
      <c r="AB160" s="36">
        <f>0</f>
        <v>0</v>
      </c>
      <c r="AC160" s="36"/>
    </row>
    <row r="161" spans="1:29" s="1" customFormat="1" ht="13.5" customHeight="1">
      <c r="A161" s="32" t="s">
        <v>155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3" t="s">
        <v>97</v>
      </c>
      <c r="M161" s="33"/>
      <c r="N161" s="33"/>
      <c r="O161" s="33" t="s">
        <v>220</v>
      </c>
      <c r="P161" s="33"/>
      <c r="Q161" s="33"/>
      <c r="R161" s="34" t="s">
        <v>156</v>
      </c>
      <c r="S161" s="34"/>
      <c r="T161" s="35">
        <f>0</f>
        <v>0</v>
      </c>
      <c r="U161" s="35"/>
      <c r="V161" s="35"/>
      <c r="W161" s="37" t="s">
        <v>37</v>
      </c>
      <c r="X161" s="37"/>
      <c r="Y161" s="37"/>
      <c r="Z161" s="37"/>
      <c r="AA161" s="37"/>
      <c r="AB161" s="38" t="s">
        <v>37</v>
      </c>
      <c r="AC161" s="38"/>
    </row>
    <row r="162" spans="1:29" s="1" customFormat="1" ht="13.5" customHeight="1">
      <c r="A162" s="32" t="s">
        <v>143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3" t="s">
        <v>97</v>
      </c>
      <c r="M162" s="33"/>
      <c r="N162" s="33"/>
      <c r="O162" s="33" t="s">
        <v>221</v>
      </c>
      <c r="P162" s="33"/>
      <c r="Q162" s="33"/>
      <c r="R162" s="34" t="s">
        <v>144</v>
      </c>
      <c r="S162" s="34"/>
      <c r="T162" s="35">
        <f>28000</f>
        <v>28000</v>
      </c>
      <c r="U162" s="35"/>
      <c r="V162" s="35"/>
      <c r="W162" s="35">
        <f>28000</f>
        <v>28000</v>
      </c>
      <c r="X162" s="35"/>
      <c r="Y162" s="35"/>
      <c r="Z162" s="35"/>
      <c r="AA162" s="35"/>
      <c r="AB162" s="36">
        <f>0</f>
        <v>0</v>
      </c>
      <c r="AC162" s="36"/>
    </row>
    <row r="163" spans="1:29" s="1" customFormat="1" ht="13.5" customHeight="1">
      <c r="A163" s="32" t="s">
        <v>137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3" t="s">
        <v>97</v>
      </c>
      <c r="M163" s="33"/>
      <c r="N163" s="33"/>
      <c r="O163" s="33" t="s">
        <v>221</v>
      </c>
      <c r="P163" s="33"/>
      <c r="Q163" s="33"/>
      <c r="R163" s="34" t="s">
        <v>139</v>
      </c>
      <c r="S163" s="34"/>
      <c r="T163" s="35">
        <f>39061.16</f>
        <v>39061.16</v>
      </c>
      <c r="U163" s="35"/>
      <c r="V163" s="35"/>
      <c r="W163" s="35">
        <f>39061.16</f>
        <v>39061.16</v>
      </c>
      <c r="X163" s="35"/>
      <c r="Y163" s="35"/>
      <c r="Z163" s="35"/>
      <c r="AA163" s="35"/>
      <c r="AB163" s="36">
        <f>0</f>
        <v>0</v>
      </c>
      <c r="AC163" s="36"/>
    </row>
    <row r="164" spans="1:29" s="1" customFormat="1" ht="13.5" customHeight="1">
      <c r="A164" s="32" t="s">
        <v>155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3" t="s">
        <v>97</v>
      </c>
      <c r="M164" s="33"/>
      <c r="N164" s="33"/>
      <c r="O164" s="33" t="s">
        <v>222</v>
      </c>
      <c r="P164" s="33"/>
      <c r="Q164" s="33"/>
      <c r="R164" s="34" t="s">
        <v>156</v>
      </c>
      <c r="S164" s="34"/>
      <c r="T164" s="35">
        <f>12650</f>
        <v>12650</v>
      </c>
      <c r="U164" s="35"/>
      <c r="V164" s="35"/>
      <c r="W164" s="35">
        <f>12650</f>
        <v>12650</v>
      </c>
      <c r="X164" s="35"/>
      <c r="Y164" s="35"/>
      <c r="Z164" s="35"/>
      <c r="AA164" s="35"/>
      <c r="AB164" s="36">
        <f>0</f>
        <v>0</v>
      </c>
      <c r="AC164" s="36"/>
    </row>
    <row r="165" spans="1:29" s="1" customFormat="1" ht="13.5" customHeight="1">
      <c r="A165" s="32" t="s">
        <v>124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3" t="s">
        <v>97</v>
      </c>
      <c r="M165" s="33"/>
      <c r="N165" s="33"/>
      <c r="O165" s="33" t="s">
        <v>223</v>
      </c>
      <c r="P165" s="33"/>
      <c r="Q165" s="33"/>
      <c r="R165" s="34" t="s">
        <v>126</v>
      </c>
      <c r="S165" s="34"/>
      <c r="T165" s="35">
        <f>2424875.58</f>
        <v>2424875.58</v>
      </c>
      <c r="U165" s="35"/>
      <c r="V165" s="35"/>
      <c r="W165" s="35">
        <f>1552992.9</f>
        <v>1552992.9</v>
      </c>
      <c r="X165" s="35"/>
      <c r="Y165" s="35"/>
      <c r="Z165" s="35"/>
      <c r="AA165" s="35"/>
      <c r="AB165" s="36">
        <f>871882.68</f>
        <v>871882.68</v>
      </c>
      <c r="AC165" s="36"/>
    </row>
    <row r="166" spans="1:29" s="1" customFormat="1" ht="13.5" customHeight="1">
      <c r="A166" s="32" t="s">
        <v>112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3" t="s">
        <v>97</v>
      </c>
      <c r="M166" s="33"/>
      <c r="N166" s="33"/>
      <c r="O166" s="33" t="s">
        <v>223</v>
      </c>
      <c r="P166" s="33"/>
      <c r="Q166" s="33"/>
      <c r="R166" s="34" t="s">
        <v>113</v>
      </c>
      <c r="S166" s="34"/>
      <c r="T166" s="35">
        <f>0</f>
        <v>0</v>
      </c>
      <c r="U166" s="35"/>
      <c r="V166" s="35"/>
      <c r="W166" s="37" t="s">
        <v>37</v>
      </c>
      <c r="X166" s="37"/>
      <c r="Y166" s="37"/>
      <c r="Z166" s="37"/>
      <c r="AA166" s="37"/>
      <c r="AB166" s="38" t="s">
        <v>37</v>
      </c>
      <c r="AC166" s="38"/>
    </row>
    <row r="167" spans="1:29" s="1" customFormat="1" ht="13.5" customHeight="1">
      <c r="A167" s="32" t="s">
        <v>137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3" t="s">
        <v>97</v>
      </c>
      <c r="M167" s="33"/>
      <c r="N167" s="33"/>
      <c r="O167" s="33" t="s">
        <v>223</v>
      </c>
      <c r="P167" s="33"/>
      <c r="Q167" s="33"/>
      <c r="R167" s="34" t="s">
        <v>139</v>
      </c>
      <c r="S167" s="34"/>
      <c r="T167" s="35">
        <f>376990</f>
        <v>376990</v>
      </c>
      <c r="U167" s="35"/>
      <c r="V167" s="35"/>
      <c r="W167" s="35">
        <f>326990</f>
        <v>326990</v>
      </c>
      <c r="X167" s="35"/>
      <c r="Y167" s="35"/>
      <c r="Z167" s="35"/>
      <c r="AA167" s="35"/>
      <c r="AB167" s="36">
        <f>50000</f>
        <v>50000</v>
      </c>
      <c r="AC167" s="36"/>
    </row>
    <row r="168" spans="1:29" s="1" customFormat="1" ht="13.5" customHeight="1">
      <c r="A168" s="32" t="s">
        <v>149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3" t="s">
        <v>97</v>
      </c>
      <c r="M168" s="33"/>
      <c r="N168" s="33"/>
      <c r="O168" s="33" t="s">
        <v>223</v>
      </c>
      <c r="P168" s="33"/>
      <c r="Q168" s="33"/>
      <c r="R168" s="34" t="s">
        <v>150</v>
      </c>
      <c r="S168" s="34"/>
      <c r="T168" s="35">
        <f>10335</f>
        <v>10335</v>
      </c>
      <c r="U168" s="35"/>
      <c r="V168" s="35"/>
      <c r="W168" s="35">
        <f>10335</f>
        <v>10335</v>
      </c>
      <c r="X168" s="35"/>
      <c r="Y168" s="35"/>
      <c r="Z168" s="35"/>
      <c r="AA168" s="35"/>
      <c r="AB168" s="36">
        <f>0</f>
        <v>0</v>
      </c>
      <c r="AC168" s="36"/>
    </row>
    <row r="169" spans="1:29" s="1" customFormat="1" ht="13.5" customHeight="1">
      <c r="A169" s="32" t="s">
        <v>151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3" t="s">
        <v>97</v>
      </c>
      <c r="M169" s="33"/>
      <c r="N169" s="33"/>
      <c r="O169" s="33" t="s">
        <v>223</v>
      </c>
      <c r="P169" s="33"/>
      <c r="Q169" s="33"/>
      <c r="R169" s="34" t="s">
        <v>152</v>
      </c>
      <c r="S169" s="34"/>
      <c r="T169" s="35">
        <f>13844.1</f>
        <v>13844.1</v>
      </c>
      <c r="U169" s="35"/>
      <c r="V169" s="35"/>
      <c r="W169" s="35">
        <f>13844.1</f>
        <v>13844.1</v>
      </c>
      <c r="X169" s="35"/>
      <c r="Y169" s="35"/>
      <c r="Z169" s="35"/>
      <c r="AA169" s="35"/>
      <c r="AB169" s="36">
        <f>0</f>
        <v>0</v>
      </c>
      <c r="AC169" s="36"/>
    </row>
    <row r="170" spans="1:29" s="1" customFormat="1" ht="13.5" customHeight="1">
      <c r="A170" s="32" t="s">
        <v>155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3" t="s">
        <v>97</v>
      </c>
      <c r="M170" s="33"/>
      <c r="N170" s="33"/>
      <c r="O170" s="33" t="s">
        <v>223</v>
      </c>
      <c r="P170" s="33"/>
      <c r="Q170" s="33"/>
      <c r="R170" s="34" t="s">
        <v>156</v>
      </c>
      <c r="S170" s="34"/>
      <c r="T170" s="35">
        <f>11950</f>
        <v>11950</v>
      </c>
      <c r="U170" s="35"/>
      <c r="V170" s="35"/>
      <c r="W170" s="35">
        <f>11950</f>
        <v>11950</v>
      </c>
      <c r="X170" s="35"/>
      <c r="Y170" s="35"/>
      <c r="Z170" s="35"/>
      <c r="AA170" s="35"/>
      <c r="AB170" s="36">
        <f>0</f>
        <v>0</v>
      </c>
      <c r="AC170" s="36"/>
    </row>
    <row r="171" spans="1:29" s="1" customFormat="1" ht="13.5" customHeight="1">
      <c r="A171" s="32" t="s">
        <v>155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3" t="s">
        <v>97</v>
      </c>
      <c r="M171" s="33"/>
      <c r="N171" s="33"/>
      <c r="O171" s="33" t="s">
        <v>224</v>
      </c>
      <c r="P171" s="33"/>
      <c r="Q171" s="33"/>
      <c r="R171" s="34" t="s">
        <v>156</v>
      </c>
      <c r="S171" s="34"/>
      <c r="T171" s="35">
        <f>83260</f>
        <v>83260</v>
      </c>
      <c r="U171" s="35"/>
      <c r="V171" s="35"/>
      <c r="W171" s="35">
        <f>83260</f>
        <v>83260</v>
      </c>
      <c r="X171" s="35"/>
      <c r="Y171" s="35"/>
      <c r="Z171" s="35"/>
      <c r="AA171" s="35"/>
      <c r="AB171" s="36">
        <f>0</f>
        <v>0</v>
      </c>
      <c r="AC171" s="36"/>
    </row>
    <row r="172" spans="1:29" s="1" customFormat="1" ht="13.5" customHeight="1">
      <c r="A172" s="32" t="s">
        <v>124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3" t="s">
        <v>97</v>
      </c>
      <c r="M172" s="33"/>
      <c r="N172" s="33"/>
      <c r="O172" s="33" t="s">
        <v>225</v>
      </c>
      <c r="P172" s="33"/>
      <c r="Q172" s="33"/>
      <c r="R172" s="34" t="s">
        <v>126</v>
      </c>
      <c r="S172" s="34"/>
      <c r="T172" s="35">
        <f>550000</f>
        <v>550000</v>
      </c>
      <c r="U172" s="35"/>
      <c r="V172" s="35"/>
      <c r="W172" s="35">
        <f>550000</f>
        <v>550000</v>
      </c>
      <c r="X172" s="35"/>
      <c r="Y172" s="35"/>
      <c r="Z172" s="35"/>
      <c r="AA172" s="35"/>
      <c r="AB172" s="36">
        <f>0</f>
        <v>0</v>
      </c>
      <c r="AC172" s="36"/>
    </row>
    <row r="173" spans="1:29" s="1" customFormat="1" ht="13.5" customHeight="1">
      <c r="A173" s="32" t="s">
        <v>137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3" t="s">
        <v>97</v>
      </c>
      <c r="M173" s="33"/>
      <c r="N173" s="33"/>
      <c r="O173" s="33" t="s">
        <v>225</v>
      </c>
      <c r="P173" s="33"/>
      <c r="Q173" s="33"/>
      <c r="R173" s="34" t="s">
        <v>139</v>
      </c>
      <c r="S173" s="34"/>
      <c r="T173" s="35">
        <f>0</f>
        <v>0</v>
      </c>
      <c r="U173" s="35"/>
      <c r="V173" s="35"/>
      <c r="W173" s="37" t="s">
        <v>37</v>
      </c>
      <c r="X173" s="37"/>
      <c r="Y173" s="37"/>
      <c r="Z173" s="37"/>
      <c r="AA173" s="37"/>
      <c r="AB173" s="38" t="s">
        <v>37</v>
      </c>
      <c r="AC173" s="38"/>
    </row>
    <row r="174" spans="1:29" s="1" customFormat="1" ht="13.5" customHeight="1">
      <c r="A174" s="32" t="s">
        <v>124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3" t="s">
        <v>97</v>
      </c>
      <c r="M174" s="33"/>
      <c r="N174" s="33"/>
      <c r="O174" s="33" t="s">
        <v>226</v>
      </c>
      <c r="P174" s="33"/>
      <c r="Q174" s="33"/>
      <c r="R174" s="34" t="s">
        <v>126</v>
      </c>
      <c r="S174" s="34"/>
      <c r="T174" s="35">
        <f>470500.57</f>
        <v>470500.57</v>
      </c>
      <c r="U174" s="35"/>
      <c r="V174" s="35"/>
      <c r="W174" s="35">
        <f>470500.57</f>
        <v>470500.57</v>
      </c>
      <c r="X174" s="35"/>
      <c r="Y174" s="35"/>
      <c r="Z174" s="35"/>
      <c r="AA174" s="35"/>
      <c r="AB174" s="36">
        <f>0</f>
        <v>0</v>
      </c>
      <c r="AC174" s="36"/>
    </row>
    <row r="175" spans="1:29" s="1" customFormat="1" ht="13.5" customHeight="1">
      <c r="A175" s="32" t="s">
        <v>112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3" t="s">
        <v>97</v>
      </c>
      <c r="M175" s="33"/>
      <c r="N175" s="33"/>
      <c r="O175" s="33" t="s">
        <v>227</v>
      </c>
      <c r="P175" s="33"/>
      <c r="Q175" s="33"/>
      <c r="R175" s="34" t="s">
        <v>113</v>
      </c>
      <c r="S175" s="34"/>
      <c r="T175" s="35">
        <f>15000</f>
        <v>15000</v>
      </c>
      <c r="U175" s="35"/>
      <c r="V175" s="35"/>
      <c r="W175" s="37" t="s">
        <v>37</v>
      </c>
      <c r="X175" s="37"/>
      <c r="Y175" s="37"/>
      <c r="Z175" s="37"/>
      <c r="AA175" s="37"/>
      <c r="AB175" s="36">
        <f>15000</f>
        <v>15000</v>
      </c>
      <c r="AC175" s="36"/>
    </row>
    <row r="176" spans="1:29" s="1" customFormat="1" ht="13.5" customHeight="1">
      <c r="A176" s="32" t="s">
        <v>155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3" t="s">
        <v>97</v>
      </c>
      <c r="M176" s="33"/>
      <c r="N176" s="33"/>
      <c r="O176" s="33" t="s">
        <v>227</v>
      </c>
      <c r="P176" s="33"/>
      <c r="Q176" s="33"/>
      <c r="R176" s="34" t="s">
        <v>156</v>
      </c>
      <c r="S176" s="34"/>
      <c r="T176" s="35">
        <f>40000</f>
        <v>40000</v>
      </c>
      <c r="U176" s="35"/>
      <c r="V176" s="35"/>
      <c r="W176" s="35">
        <f>40000</f>
        <v>40000</v>
      </c>
      <c r="X176" s="35"/>
      <c r="Y176" s="35"/>
      <c r="Z176" s="35"/>
      <c r="AA176" s="35"/>
      <c r="AB176" s="36">
        <f>0</f>
        <v>0</v>
      </c>
      <c r="AC176" s="36"/>
    </row>
    <row r="177" spans="1:29" s="1" customFormat="1" ht="13.5" customHeight="1">
      <c r="A177" s="32" t="s">
        <v>112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3" t="s">
        <v>97</v>
      </c>
      <c r="M177" s="33"/>
      <c r="N177" s="33"/>
      <c r="O177" s="33" t="s">
        <v>228</v>
      </c>
      <c r="P177" s="33"/>
      <c r="Q177" s="33"/>
      <c r="R177" s="34" t="s">
        <v>113</v>
      </c>
      <c r="S177" s="34"/>
      <c r="T177" s="35">
        <f>45000</f>
        <v>45000</v>
      </c>
      <c r="U177" s="35"/>
      <c r="V177" s="35"/>
      <c r="W177" s="35">
        <f>43896.86</f>
        <v>43896.86</v>
      </c>
      <c r="X177" s="35"/>
      <c r="Y177" s="35"/>
      <c r="Z177" s="35"/>
      <c r="AA177" s="35"/>
      <c r="AB177" s="36">
        <f>1103.14</f>
        <v>1103.14</v>
      </c>
      <c r="AC177" s="36"/>
    </row>
    <row r="178" spans="1:29" s="1" customFormat="1" ht="13.5" customHeight="1">
      <c r="A178" s="32" t="s">
        <v>155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3" t="s">
        <v>97</v>
      </c>
      <c r="M178" s="33"/>
      <c r="N178" s="33"/>
      <c r="O178" s="33" t="s">
        <v>229</v>
      </c>
      <c r="P178" s="33"/>
      <c r="Q178" s="33"/>
      <c r="R178" s="34" t="s">
        <v>156</v>
      </c>
      <c r="S178" s="34"/>
      <c r="T178" s="35">
        <f>150</f>
        <v>150</v>
      </c>
      <c r="U178" s="35"/>
      <c r="V178" s="35"/>
      <c r="W178" s="35">
        <f>150</f>
        <v>150</v>
      </c>
      <c r="X178" s="35"/>
      <c r="Y178" s="35"/>
      <c r="Z178" s="35"/>
      <c r="AA178" s="35"/>
      <c r="AB178" s="36">
        <f aca="true" t="shared" si="2" ref="AB178:AB183">0</f>
        <v>0</v>
      </c>
      <c r="AC178" s="36"/>
    </row>
    <row r="179" spans="1:29" s="1" customFormat="1" ht="13.5" customHeight="1">
      <c r="A179" s="32" t="s">
        <v>137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3" t="s">
        <v>97</v>
      </c>
      <c r="M179" s="33"/>
      <c r="N179" s="33"/>
      <c r="O179" s="33" t="s">
        <v>230</v>
      </c>
      <c r="P179" s="33"/>
      <c r="Q179" s="33"/>
      <c r="R179" s="34" t="s">
        <v>139</v>
      </c>
      <c r="S179" s="34"/>
      <c r="T179" s="35">
        <f>31000</f>
        <v>31000</v>
      </c>
      <c r="U179" s="35"/>
      <c r="V179" s="35"/>
      <c r="W179" s="35">
        <f>31000</f>
        <v>31000</v>
      </c>
      <c r="X179" s="35"/>
      <c r="Y179" s="35"/>
      <c r="Z179" s="35"/>
      <c r="AA179" s="35"/>
      <c r="AB179" s="36">
        <f t="shared" si="2"/>
        <v>0</v>
      </c>
      <c r="AC179" s="36"/>
    </row>
    <row r="180" spans="1:29" s="1" customFormat="1" ht="13.5" customHeight="1">
      <c r="A180" s="32" t="s">
        <v>119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3" t="s">
        <v>97</v>
      </c>
      <c r="M180" s="33"/>
      <c r="N180" s="33"/>
      <c r="O180" s="33" t="s">
        <v>231</v>
      </c>
      <c r="P180" s="33"/>
      <c r="Q180" s="33"/>
      <c r="R180" s="34" t="s">
        <v>121</v>
      </c>
      <c r="S180" s="34"/>
      <c r="T180" s="35">
        <f>2600242</f>
        <v>2600242</v>
      </c>
      <c r="U180" s="35"/>
      <c r="V180" s="35"/>
      <c r="W180" s="35">
        <f>2600242</f>
        <v>2600242</v>
      </c>
      <c r="X180" s="35"/>
      <c r="Y180" s="35"/>
      <c r="Z180" s="35"/>
      <c r="AA180" s="35"/>
      <c r="AB180" s="36">
        <f t="shared" si="2"/>
        <v>0</v>
      </c>
      <c r="AC180" s="36"/>
    </row>
    <row r="181" spans="1:29" s="1" customFormat="1" ht="13.5" customHeight="1">
      <c r="A181" s="32" t="s">
        <v>119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3" t="s">
        <v>97</v>
      </c>
      <c r="M181" s="33"/>
      <c r="N181" s="33"/>
      <c r="O181" s="33" t="s">
        <v>232</v>
      </c>
      <c r="P181" s="33"/>
      <c r="Q181" s="33"/>
      <c r="R181" s="34" t="s">
        <v>121</v>
      </c>
      <c r="S181" s="34"/>
      <c r="T181" s="35">
        <f>32060.4</f>
        <v>32060.4</v>
      </c>
      <c r="U181" s="35"/>
      <c r="V181" s="35"/>
      <c r="W181" s="35">
        <f>32060.4</f>
        <v>32060.4</v>
      </c>
      <c r="X181" s="35"/>
      <c r="Y181" s="35"/>
      <c r="Z181" s="35"/>
      <c r="AA181" s="35"/>
      <c r="AB181" s="36">
        <f t="shared" si="2"/>
        <v>0</v>
      </c>
      <c r="AC181" s="36"/>
    </row>
    <row r="182" spans="1:29" s="1" customFormat="1" ht="13.5" customHeight="1">
      <c r="A182" s="32" t="s">
        <v>119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3" t="s">
        <v>97</v>
      </c>
      <c r="M182" s="33"/>
      <c r="N182" s="33"/>
      <c r="O182" s="33" t="s">
        <v>233</v>
      </c>
      <c r="P182" s="33"/>
      <c r="Q182" s="33"/>
      <c r="R182" s="34" t="s">
        <v>121</v>
      </c>
      <c r="S182" s="34"/>
      <c r="T182" s="35">
        <f>377269</f>
        <v>377269</v>
      </c>
      <c r="U182" s="35"/>
      <c r="V182" s="35"/>
      <c r="W182" s="35">
        <f>377269</f>
        <v>377269</v>
      </c>
      <c r="X182" s="35"/>
      <c r="Y182" s="35"/>
      <c r="Z182" s="35"/>
      <c r="AA182" s="35"/>
      <c r="AB182" s="36">
        <f t="shared" si="2"/>
        <v>0</v>
      </c>
      <c r="AC182" s="36"/>
    </row>
    <row r="183" spans="1:29" s="1" customFormat="1" ht="13.5" customHeight="1">
      <c r="A183" s="32" t="s">
        <v>119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3" t="s">
        <v>97</v>
      </c>
      <c r="M183" s="33"/>
      <c r="N183" s="33"/>
      <c r="O183" s="33" t="s">
        <v>234</v>
      </c>
      <c r="P183" s="33"/>
      <c r="Q183" s="33"/>
      <c r="R183" s="34" t="s">
        <v>121</v>
      </c>
      <c r="S183" s="34"/>
      <c r="T183" s="35">
        <f>190384.27</f>
        <v>190384.27</v>
      </c>
      <c r="U183" s="35"/>
      <c r="V183" s="35"/>
      <c r="W183" s="35">
        <f>190384.27</f>
        <v>190384.27</v>
      </c>
      <c r="X183" s="35"/>
      <c r="Y183" s="35"/>
      <c r="Z183" s="35"/>
      <c r="AA183" s="35"/>
      <c r="AB183" s="36">
        <f t="shared" si="2"/>
        <v>0</v>
      </c>
      <c r="AC183" s="36"/>
    </row>
    <row r="184" spans="1:29" s="1" customFormat="1" ht="13.5" customHeight="1">
      <c r="A184" s="32" t="s">
        <v>112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3" t="s">
        <v>97</v>
      </c>
      <c r="M184" s="33"/>
      <c r="N184" s="33"/>
      <c r="O184" s="33" t="s">
        <v>235</v>
      </c>
      <c r="P184" s="33"/>
      <c r="Q184" s="33"/>
      <c r="R184" s="34" t="s">
        <v>113</v>
      </c>
      <c r="S184" s="34"/>
      <c r="T184" s="35">
        <f>0</f>
        <v>0</v>
      </c>
      <c r="U184" s="35"/>
      <c r="V184" s="35"/>
      <c r="W184" s="37" t="s">
        <v>37</v>
      </c>
      <c r="X184" s="37"/>
      <c r="Y184" s="37"/>
      <c r="Z184" s="37"/>
      <c r="AA184" s="37"/>
      <c r="AB184" s="38" t="s">
        <v>37</v>
      </c>
      <c r="AC184" s="38"/>
    </row>
    <row r="185" spans="1:29" s="1" customFormat="1" ht="13.5" customHeight="1">
      <c r="A185" s="32" t="s">
        <v>98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3" t="s">
        <v>97</v>
      </c>
      <c r="M185" s="33"/>
      <c r="N185" s="33"/>
      <c r="O185" s="33" t="s">
        <v>236</v>
      </c>
      <c r="P185" s="33"/>
      <c r="Q185" s="33"/>
      <c r="R185" s="34" t="s">
        <v>100</v>
      </c>
      <c r="S185" s="34"/>
      <c r="T185" s="35">
        <f>0</f>
        <v>0</v>
      </c>
      <c r="U185" s="35"/>
      <c r="V185" s="35"/>
      <c r="W185" s="37" t="s">
        <v>37</v>
      </c>
      <c r="X185" s="37"/>
      <c r="Y185" s="37"/>
      <c r="Z185" s="37"/>
      <c r="AA185" s="37"/>
      <c r="AB185" s="38" t="s">
        <v>37</v>
      </c>
      <c r="AC185" s="38"/>
    </row>
    <row r="186" spans="1:29" s="1" customFormat="1" ht="13.5" customHeight="1">
      <c r="A186" s="32" t="s">
        <v>101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3" t="s">
        <v>97</v>
      </c>
      <c r="M186" s="33"/>
      <c r="N186" s="33"/>
      <c r="O186" s="33" t="s">
        <v>237</v>
      </c>
      <c r="P186" s="33"/>
      <c r="Q186" s="33"/>
      <c r="R186" s="34" t="s">
        <v>103</v>
      </c>
      <c r="S186" s="34"/>
      <c r="T186" s="35">
        <f>0</f>
        <v>0</v>
      </c>
      <c r="U186" s="35"/>
      <c r="V186" s="35"/>
      <c r="W186" s="37" t="s">
        <v>37</v>
      </c>
      <c r="X186" s="37"/>
      <c r="Y186" s="37"/>
      <c r="Z186" s="37"/>
      <c r="AA186" s="37"/>
      <c r="AB186" s="38" t="s">
        <v>37</v>
      </c>
      <c r="AC186" s="38"/>
    </row>
    <row r="187" spans="1:29" s="1" customFormat="1" ht="13.5" customHeight="1">
      <c r="A187" s="32" t="s">
        <v>124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3" t="s">
        <v>97</v>
      </c>
      <c r="M187" s="33"/>
      <c r="N187" s="33"/>
      <c r="O187" s="33" t="s">
        <v>238</v>
      </c>
      <c r="P187" s="33"/>
      <c r="Q187" s="33"/>
      <c r="R187" s="34" t="s">
        <v>126</v>
      </c>
      <c r="S187" s="34"/>
      <c r="T187" s="35">
        <f>120000</f>
        <v>120000</v>
      </c>
      <c r="U187" s="35"/>
      <c r="V187" s="35"/>
      <c r="W187" s="35">
        <f>120000</f>
        <v>120000</v>
      </c>
      <c r="X187" s="35"/>
      <c r="Y187" s="35"/>
      <c r="Z187" s="35"/>
      <c r="AA187" s="35"/>
      <c r="AB187" s="36">
        <f>0</f>
        <v>0</v>
      </c>
      <c r="AC187" s="36"/>
    </row>
    <row r="188" spans="1:29" s="1" customFormat="1" ht="13.5" customHeight="1">
      <c r="A188" s="32" t="s">
        <v>151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3" t="s">
        <v>97</v>
      </c>
      <c r="M188" s="33"/>
      <c r="N188" s="33"/>
      <c r="O188" s="33" t="s">
        <v>238</v>
      </c>
      <c r="P188" s="33"/>
      <c r="Q188" s="33"/>
      <c r="R188" s="34" t="s">
        <v>152</v>
      </c>
      <c r="S188" s="34"/>
      <c r="T188" s="35">
        <f>108981.81</f>
        <v>108981.81</v>
      </c>
      <c r="U188" s="35"/>
      <c r="V188" s="35"/>
      <c r="W188" s="35">
        <f>108981.81</f>
        <v>108981.81</v>
      </c>
      <c r="X188" s="35"/>
      <c r="Y188" s="35"/>
      <c r="Z188" s="35"/>
      <c r="AA188" s="35"/>
      <c r="AB188" s="36">
        <f>0</f>
        <v>0</v>
      </c>
      <c r="AC188" s="36"/>
    </row>
    <row r="189" spans="1:29" s="1" customFormat="1" ht="13.5" customHeight="1">
      <c r="A189" s="32" t="s">
        <v>155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3" t="s">
        <v>97</v>
      </c>
      <c r="M189" s="33"/>
      <c r="N189" s="33"/>
      <c r="O189" s="33" t="s">
        <v>238</v>
      </c>
      <c r="P189" s="33"/>
      <c r="Q189" s="33"/>
      <c r="R189" s="34" t="s">
        <v>156</v>
      </c>
      <c r="S189" s="34"/>
      <c r="T189" s="35">
        <f>57493</f>
        <v>57493</v>
      </c>
      <c r="U189" s="35"/>
      <c r="V189" s="35"/>
      <c r="W189" s="35">
        <f>57493</f>
        <v>57493</v>
      </c>
      <c r="X189" s="35"/>
      <c r="Y189" s="35"/>
      <c r="Z189" s="35"/>
      <c r="AA189" s="35"/>
      <c r="AB189" s="36">
        <f>0</f>
        <v>0</v>
      </c>
      <c r="AC189" s="36"/>
    </row>
    <row r="190" spans="1:29" s="1" customFormat="1" ht="13.5" customHeight="1">
      <c r="A190" s="32" t="s">
        <v>124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3" t="s">
        <v>97</v>
      </c>
      <c r="M190" s="33"/>
      <c r="N190" s="33"/>
      <c r="O190" s="33" t="s">
        <v>239</v>
      </c>
      <c r="P190" s="33"/>
      <c r="Q190" s="33"/>
      <c r="R190" s="34" t="s">
        <v>126</v>
      </c>
      <c r="S190" s="34"/>
      <c r="T190" s="35">
        <f>0</f>
        <v>0</v>
      </c>
      <c r="U190" s="35"/>
      <c r="V190" s="35"/>
      <c r="W190" s="35">
        <f>0</f>
        <v>0</v>
      </c>
      <c r="X190" s="35"/>
      <c r="Y190" s="35"/>
      <c r="Z190" s="35"/>
      <c r="AA190" s="35"/>
      <c r="AB190" s="38" t="s">
        <v>37</v>
      </c>
      <c r="AC190" s="38"/>
    </row>
    <row r="191" spans="1:29" s="1" customFormat="1" ht="13.5" customHeight="1">
      <c r="A191" s="32" t="s">
        <v>124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3" t="s">
        <v>97</v>
      </c>
      <c r="M191" s="33"/>
      <c r="N191" s="33"/>
      <c r="O191" s="33" t="s">
        <v>240</v>
      </c>
      <c r="P191" s="33"/>
      <c r="Q191" s="33"/>
      <c r="R191" s="34" t="s">
        <v>126</v>
      </c>
      <c r="S191" s="34"/>
      <c r="T191" s="35">
        <f>500000</f>
        <v>500000</v>
      </c>
      <c r="U191" s="35"/>
      <c r="V191" s="35"/>
      <c r="W191" s="35">
        <f>500000</f>
        <v>500000</v>
      </c>
      <c r="X191" s="35"/>
      <c r="Y191" s="35"/>
      <c r="Z191" s="35"/>
      <c r="AA191" s="35"/>
      <c r="AB191" s="36">
        <f>0</f>
        <v>0</v>
      </c>
      <c r="AC191" s="36"/>
    </row>
    <row r="192" spans="1:29" s="1" customFormat="1" ht="13.5" customHeight="1">
      <c r="A192" s="32" t="s">
        <v>124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3" t="s">
        <v>97</v>
      </c>
      <c r="M192" s="33"/>
      <c r="N192" s="33"/>
      <c r="O192" s="33" t="s">
        <v>241</v>
      </c>
      <c r="P192" s="33"/>
      <c r="Q192" s="33"/>
      <c r="R192" s="34" t="s">
        <v>126</v>
      </c>
      <c r="S192" s="34"/>
      <c r="T192" s="35">
        <f>0</f>
        <v>0</v>
      </c>
      <c r="U192" s="35"/>
      <c r="V192" s="35"/>
      <c r="W192" s="37" t="s">
        <v>37</v>
      </c>
      <c r="X192" s="37"/>
      <c r="Y192" s="37"/>
      <c r="Z192" s="37"/>
      <c r="AA192" s="37"/>
      <c r="AB192" s="38" t="s">
        <v>37</v>
      </c>
      <c r="AC192" s="38"/>
    </row>
    <row r="193" spans="1:29" s="1" customFormat="1" ht="13.5" customHeight="1">
      <c r="A193" s="32" t="s">
        <v>137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3" t="s">
        <v>97</v>
      </c>
      <c r="M193" s="33"/>
      <c r="N193" s="33"/>
      <c r="O193" s="33" t="s">
        <v>242</v>
      </c>
      <c r="P193" s="33"/>
      <c r="Q193" s="33"/>
      <c r="R193" s="34" t="s">
        <v>139</v>
      </c>
      <c r="S193" s="34"/>
      <c r="T193" s="35">
        <f>382130</f>
        <v>382130</v>
      </c>
      <c r="U193" s="35"/>
      <c r="V193" s="35"/>
      <c r="W193" s="35">
        <f>250846</f>
        <v>250846</v>
      </c>
      <c r="X193" s="35"/>
      <c r="Y193" s="35"/>
      <c r="Z193" s="35"/>
      <c r="AA193" s="35"/>
      <c r="AB193" s="36">
        <f>131284</f>
        <v>131284</v>
      </c>
      <c r="AC193" s="36"/>
    </row>
    <row r="194" spans="1:29" s="1" customFormat="1" ht="13.5" customHeight="1">
      <c r="A194" s="32" t="s">
        <v>155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3" t="s">
        <v>97</v>
      </c>
      <c r="M194" s="33"/>
      <c r="N194" s="33"/>
      <c r="O194" s="33" t="s">
        <v>242</v>
      </c>
      <c r="P194" s="33"/>
      <c r="Q194" s="33"/>
      <c r="R194" s="34" t="s">
        <v>156</v>
      </c>
      <c r="S194" s="34"/>
      <c r="T194" s="35">
        <f>324536.85</f>
        <v>324536.85</v>
      </c>
      <c r="U194" s="35"/>
      <c r="V194" s="35"/>
      <c r="W194" s="35">
        <f>210668</f>
        <v>210668</v>
      </c>
      <c r="X194" s="35"/>
      <c r="Y194" s="35"/>
      <c r="Z194" s="35"/>
      <c r="AA194" s="35"/>
      <c r="AB194" s="36">
        <f>113868.85</f>
        <v>113868.85</v>
      </c>
      <c r="AC194" s="36"/>
    </row>
    <row r="195" spans="1:29" s="1" customFormat="1" ht="13.5" customHeight="1">
      <c r="A195" s="32" t="s">
        <v>112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3" t="s">
        <v>97</v>
      </c>
      <c r="M195" s="33"/>
      <c r="N195" s="33"/>
      <c r="O195" s="33" t="s">
        <v>243</v>
      </c>
      <c r="P195" s="33"/>
      <c r="Q195" s="33"/>
      <c r="R195" s="34" t="s">
        <v>113</v>
      </c>
      <c r="S195" s="34"/>
      <c r="T195" s="35">
        <f>10000</f>
        <v>10000</v>
      </c>
      <c r="U195" s="35"/>
      <c r="V195" s="35"/>
      <c r="W195" s="35">
        <f>10000</f>
        <v>10000</v>
      </c>
      <c r="X195" s="35"/>
      <c r="Y195" s="35"/>
      <c r="Z195" s="35"/>
      <c r="AA195" s="35"/>
      <c r="AB195" s="36">
        <f>0</f>
        <v>0</v>
      </c>
      <c r="AC195" s="36"/>
    </row>
    <row r="196" spans="1:29" s="1" customFormat="1" ht="13.5" customHeight="1">
      <c r="A196" s="32" t="s">
        <v>155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3" t="s">
        <v>97</v>
      </c>
      <c r="M196" s="33"/>
      <c r="N196" s="33"/>
      <c r="O196" s="33" t="s">
        <v>243</v>
      </c>
      <c r="P196" s="33"/>
      <c r="Q196" s="33"/>
      <c r="R196" s="34" t="s">
        <v>156</v>
      </c>
      <c r="S196" s="34"/>
      <c r="T196" s="35">
        <f>240000</f>
        <v>240000</v>
      </c>
      <c r="U196" s="35"/>
      <c r="V196" s="35"/>
      <c r="W196" s="35">
        <f>240000</f>
        <v>240000</v>
      </c>
      <c r="X196" s="35"/>
      <c r="Y196" s="35"/>
      <c r="Z196" s="35"/>
      <c r="AA196" s="35"/>
      <c r="AB196" s="36">
        <f>0</f>
        <v>0</v>
      </c>
      <c r="AC196" s="36"/>
    </row>
    <row r="197" spans="1:29" s="1" customFormat="1" ht="13.5" customHeight="1">
      <c r="A197" s="32" t="s">
        <v>112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3" t="s">
        <v>97</v>
      </c>
      <c r="M197" s="33"/>
      <c r="N197" s="33"/>
      <c r="O197" s="33" t="s">
        <v>244</v>
      </c>
      <c r="P197" s="33"/>
      <c r="Q197" s="33"/>
      <c r="R197" s="34" t="s">
        <v>113</v>
      </c>
      <c r="S197" s="34"/>
      <c r="T197" s="35">
        <f>741155.88</f>
        <v>741155.88</v>
      </c>
      <c r="U197" s="35"/>
      <c r="V197" s="35"/>
      <c r="W197" s="35">
        <f>741155.88</f>
        <v>741155.88</v>
      </c>
      <c r="X197" s="35"/>
      <c r="Y197" s="35"/>
      <c r="Z197" s="35"/>
      <c r="AA197" s="35"/>
      <c r="AB197" s="36">
        <f>0</f>
        <v>0</v>
      </c>
      <c r="AC197" s="36"/>
    </row>
    <row r="198" spans="1:29" s="1" customFormat="1" ht="13.5" customHeight="1">
      <c r="A198" s="32" t="s">
        <v>98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3" t="s">
        <v>97</v>
      </c>
      <c r="M198" s="33"/>
      <c r="N198" s="33"/>
      <c r="O198" s="33" t="s">
        <v>245</v>
      </c>
      <c r="P198" s="33"/>
      <c r="Q198" s="33"/>
      <c r="R198" s="34" t="s">
        <v>100</v>
      </c>
      <c r="S198" s="34"/>
      <c r="T198" s="35">
        <f>3544075.41</f>
        <v>3544075.41</v>
      </c>
      <c r="U198" s="35"/>
      <c r="V198" s="35"/>
      <c r="W198" s="35">
        <f>3519390.49</f>
        <v>3519390.49</v>
      </c>
      <c r="X198" s="35"/>
      <c r="Y198" s="35"/>
      <c r="Z198" s="35"/>
      <c r="AA198" s="35"/>
      <c r="AB198" s="36">
        <f>24684.92</f>
        <v>24684.92</v>
      </c>
      <c r="AC198" s="36"/>
    </row>
    <row r="199" spans="1:29" s="1" customFormat="1" ht="13.5" customHeight="1">
      <c r="A199" s="32" t="s">
        <v>105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3" t="s">
        <v>97</v>
      </c>
      <c r="M199" s="33"/>
      <c r="N199" s="33"/>
      <c r="O199" s="33" t="s">
        <v>245</v>
      </c>
      <c r="P199" s="33"/>
      <c r="Q199" s="33"/>
      <c r="R199" s="34" t="s">
        <v>106</v>
      </c>
      <c r="S199" s="34"/>
      <c r="T199" s="35">
        <f>184974.48</f>
        <v>184974.48</v>
      </c>
      <c r="U199" s="35"/>
      <c r="V199" s="35"/>
      <c r="W199" s="35">
        <f>184974.48</f>
        <v>184974.48</v>
      </c>
      <c r="X199" s="35"/>
      <c r="Y199" s="35"/>
      <c r="Z199" s="35"/>
      <c r="AA199" s="35"/>
      <c r="AB199" s="36">
        <f>0</f>
        <v>0</v>
      </c>
      <c r="AC199" s="36"/>
    </row>
    <row r="200" spans="1:29" s="1" customFormat="1" ht="13.5" customHeight="1">
      <c r="A200" s="32" t="s">
        <v>110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3" t="s">
        <v>97</v>
      </c>
      <c r="M200" s="33"/>
      <c r="N200" s="33"/>
      <c r="O200" s="33" t="s">
        <v>246</v>
      </c>
      <c r="P200" s="33"/>
      <c r="Q200" s="33"/>
      <c r="R200" s="34" t="s">
        <v>111</v>
      </c>
      <c r="S200" s="34"/>
      <c r="T200" s="35">
        <f>38276.6</f>
        <v>38276.6</v>
      </c>
      <c r="U200" s="35"/>
      <c r="V200" s="35"/>
      <c r="W200" s="35">
        <f>38276.6</f>
        <v>38276.6</v>
      </c>
      <c r="X200" s="35"/>
      <c r="Y200" s="35"/>
      <c r="Z200" s="35"/>
      <c r="AA200" s="35"/>
      <c r="AB200" s="36">
        <f>0</f>
        <v>0</v>
      </c>
      <c r="AC200" s="36"/>
    </row>
    <row r="201" spans="1:29" s="1" customFormat="1" ht="13.5" customHeight="1">
      <c r="A201" s="32" t="s">
        <v>112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3" t="s">
        <v>97</v>
      </c>
      <c r="M201" s="33"/>
      <c r="N201" s="33"/>
      <c r="O201" s="33" t="s">
        <v>246</v>
      </c>
      <c r="P201" s="33"/>
      <c r="Q201" s="33"/>
      <c r="R201" s="34" t="s">
        <v>113</v>
      </c>
      <c r="S201" s="34"/>
      <c r="T201" s="35">
        <f>190.62</f>
        <v>190.62</v>
      </c>
      <c r="U201" s="35"/>
      <c r="V201" s="35"/>
      <c r="W201" s="35">
        <f>190.62</f>
        <v>190.62</v>
      </c>
      <c r="X201" s="35"/>
      <c r="Y201" s="35"/>
      <c r="Z201" s="35"/>
      <c r="AA201" s="35"/>
      <c r="AB201" s="36">
        <f>0</f>
        <v>0</v>
      </c>
      <c r="AC201" s="36"/>
    </row>
    <row r="202" spans="1:29" s="1" customFormat="1" ht="13.5" customHeight="1">
      <c r="A202" s="32" t="s">
        <v>101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3" t="s">
        <v>97</v>
      </c>
      <c r="M202" s="33"/>
      <c r="N202" s="33"/>
      <c r="O202" s="33" t="s">
        <v>247</v>
      </c>
      <c r="P202" s="33"/>
      <c r="Q202" s="33"/>
      <c r="R202" s="34" t="s">
        <v>103</v>
      </c>
      <c r="S202" s="34"/>
      <c r="T202" s="35">
        <f>1212381.49</f>
        <v>1212381.49</v>
      </c>
      <c r="U202" s="35"/>
      <c r="V202" s="35"/>
      <c r="W202" s="35">
        <f>1162065.64</f>
        <v>1162065.64</v>
      </c>
      <c r="X202" s="35"/>
      <c r="Y202" s="35"/>
      <c r="Z202" s="35"/>
      <c r="AA202" s="35"/>
      <c r="AB202" s="36">
        <f>50315.85</f>
        <v>50315.85</v>
      </c>
      <c r="AC202" s="36"/>
    </row>
    <row r="203" spans="1:29" s="1" customFormat="1" ht="13.5" customHeight="1">
      <c r="A203" s="32" t="s">
        <v>140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3" t="s">
        <v>97</v>
      </c>
      <c r="M203" s="33"/>
      <c r="N203" s="33"/>
      <c r="O203" s="33" t="s">
        <v>248</v>
      </c>
      <c r="P203" s="33"/>
      <c r="Q203" s="33"/>
      <c r="R203" s="34" t="s">
        <v>142</v>
      </c>
      <c r="S203" s="34"/>
      <c r="T203" s="35">
        <f>54683.22</f>
        <v>54683.22</v>
      </c>
      <c r="U203" s="35"/>
      <c r="V203" s="35"/>
      <c r="W203" s="35">
        <f>53138.88</f>
        <v>53138.88</v>
      </c>
      <c r="X203" s="35"/>
      <c r="Y203" s="35"/>
      <c r="Z203" s="35"/>
      <c r="AA203" s="35"/>
      <c r="AB203" s="36">
        <f>1544.34</f>
        <v>1544.34</v>
      </c>
      <c r="AC203" s="36"/>
    </row>
    <row r="204" spans="1:29" s="1" customFormat="1" ht="13.5" customHeight="1">
      <c r="A204" s="32" t="s">
        <v>140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3" t="s">
        <v>97</v>
      </c>
      <c r="M204" s="33"/>
      <c r="N204" s="33"/>
      <c r="O204" s="33" t="s">
        <v>249</v>
      </c>
      <c r="P204" s="33"/>
      <c r="Q204" s="33"/>
      <c r="R204" s="34" t="s">
        <v>142</v>
      </c>
      <c r="S204" s="34"/>
      <c r="T204" s="35">
        <f>11001.5</f>
        <v>11001.5</v>
      </c>
      <c r="U204" s="35"/>
      <c r="V204" s="35"/>
      <c r="W204" s="35">
        <f>11001.5</f>
        <v>11001.5</v>
      </c>
      <c r="X204" s="35"/>
      <c r="Y204" s="35"/>
      <c r="Z204" s="35"/>
      <c r="AA204" s="35"/>
      <c r="AB204" s="36">
        <f aca="true" t="shared" si="3" ref="AB204:AB209">0</f>
        <v>0</v>
      </c>
      <c r="AC204" s="36"/>
    </row>
    <row r="205" spans="1:29" s="1" customFormat="1" ht="13.5" customHeight="1">
      <c r="A205" s="32" t="s">
        <v>145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3" t="s">
        <v>97</v>
      </c>
      <c r="M205" s="33"/>
      <c r="N205" s="33"/>
      <c r="O205" s="33" t="s">
        <v>249</v>
      </c>
      <c r="P205" s="33"/>
      <c r="Q205" s="33"/>
      <c r="R205" s="34" t="s">
        <v>146</v>
      </c>
      <c r="S205" s="34"/>
      <c r="T205" s="35">
        <f>776814.51</f>
        <v>776814.51</v>
      </c>
      <c r="U205" s="35"/>
      <c r="V205" s="35"/>
      <c r="W205" s="35">
        <f>776814.51</f>
        <v>776814.51</v>
      </c>
      <c r="X205" s="35"/>
      <c r="Y205" s="35"/>
      <c r="Z205" s="35"/>
      <c r="AA205" s="35"/>
      <c r="AB205" s="36">
        <f t="shared" si="3"/>
        <v>0</v>
      </c>
      <c r="AC205" s="36"/>
    </row>
    <row r="206" spans="1:29" s="1" customFormat="1" ht="13.5" customHeight="1">
      <c r="A206" s="32" t="s">
        <v>112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3" t="s">
        <v>97</v>
      </c>
      <c r="M206" s="33"/>
      <c r="N206" s="33"/>
      <c r="O206" s="33" t="s">
        <v>249</v>
      </c>
      <c r="P206" s="33"/>
      <c r="Q206" s="33"/>
      <c r="R206" s="34" t="s">
        <v>113</v>
      </c>
      <c r="S206" s="34"/>
      <c r="T206" s="35">
        <f>113770.9</f>
        <v>113770.9</v>
      </c>
      <c r="U206" s="35"/>
      <c r="V206" s="35"/>
      <c r="W206" s="35">
        <f>113770.9</f>
        <v>113770.9</v>
      </c>
      <c r="X206" s="35"/>
      <c r="Y206" s="35"/>
      <c r="Z206" s="35"/>
      <c r="AA206" s="35"/>
      <c r="AB206" s="36">
        <f t="shared" si="3"/>
        <v>0</v>
      </c>
      <c r="AC206" s="36"/>
    </row>
    <row r="207" spans="1:29" s="1" customFormat="1" ht="13.5" customHeight="1">
      <c r="A207" s="32" t="s">
        <v>155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3" t="s">
        <v>97</v>
      </c>
      <c r="M207" s="33"/>
      <c r="N207" s="33"/>
      <c r="O207" s="33" t="s">
        <v>249</v>
      </c>
      <c r="P207" s="33"/>
      <c r="Q207" s="33"/>
      <c r="R207" s="34" t="s">
        <v>156</v>
      </c>
      <c r="S207" s="34"/>
      <c r="T207" s="35">
        <f>8960</f>
        <v>8960</v>
      </c>
      <c r="U207" s="35"/>
      <c r="V207" s="35"/>
      <c r="W207" s="35">
        <f>8960</f>
        <v>8960</v>
      </c>
      <c r="X207" s="35"/>
      <c r="Y207" s="35"/>
      <c r="Z207" s="35"/>
      <c r="AA207" s="35"/>
      <c r="AB207" s="36">
        <f t="shared" si="3"/>
        <v>0</v>
      </c>
      <c r="AC207" s="36"/>
    </row>
    <row r="208" spans="1:29" s="1" customFormat="1" ht="24" customHeight="1">
      <c r="A208" s="32" t="s">
        <v>131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3" t="s">
        <v>97</v>
      </c>
      <c r="M208" s="33"/>
      <c r="N208" s="33"/>
      <c r="O208" s="33" t="s">
        <v>249</v>
      </c>
      <c r="P208" s="33"/>
      <c r="Q208" s="33"/>
      <c r="R208" s="34" t="s">
        <v>133</v>
      </c>
      <c r="S208" s="34"/>
      <c r="T208" s="35">
        <f>236</f>
        <v>236</v>
      </c>
      <c r="U208" s="35"/>
      <c r="V208" s="35"/>
      <c r="W208" s="35">
        <f>236</f>
        <v>236</v>
      </c>
      <c r="X208" s="35"/>
      <c r="Y208" s="35"/>
      <c r="Z208" s="35"/>
      <c r="AA208" s="35"/>
      <c r="AB208" s="36">
        <f t="shared" si="3"/>
        <v>0</v>
      </c>
      <c r="AC208" s="36"/>
    </row>
    <row r="209" spans="1:29" s="1" customFormat="1" ht="13.5" customHeight="1">
      <c r="A209" s="32" t="s">
        <v>250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3" t="s">
        <v>97</v>
      </c>
      <c r="M209" s="33"/>
      <c r="N209" s="33"/>
      <c r="O209" s="33" t="s">
        <v>251</v>
      </c>
      <c r="P209" s="33"/>
      <c r="Q209" s="33"/>
      <c r="R209" s="34" t="s">
        <v>252</v>
      </c>
      <c r="S209" s="34"/>
      <c r="T209" s="35">
        <f>20000</f>
        <v>20000</v>
      </c>
      <c r="U209" s="35"/>
      <c r="V209" s="35"/>
      <c r="W209" s="35">
        <f>20000</f>
        <v>20000</v>
      </c>
      <c r="X209" s="35"/>
      <c r="Y209" s="35"/>
      <c r="Z209" s="35"/>
      <c r="AA209" s="35"/>
      <c r="AB209" s="36">
        <f t="shared" si="3"/>
        <v>0</v>
      </c>
      <c r="AC209" s="36"/>
    </row>
    <row r="210" spans="1:29" s="1" customFormat="1" ht="13.5" customHeight="1">
      <c r="A210" s="32" t="s">
        <v>159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3" t="s">
        <v>97</v>
      </c>
      <c r="M210" s="33"/>
      <c r="N210" s="33"/>
      <c r="O210" s="33" t="s">
        <v>253</v>
      </c>
      <c r="P210" s="33"/>
      <c r="Q210" s="33"/>
      <c r="R210" s="34" t="s">
        <v>161</v>
      </c>
      <c r="S210" s="34"/>
      <c r="T210" s="35">
        <f>0</f>
        <v>0</v>
      </c>
      <c r="U210" s="35"/>
      <c r="V210" s="35"/>
      <c r="W210" s="37" t="s">
        <v>37</v>
      </c>
      <c r="X210" s="37"/>
      <c r="Y210" s="37"/>
      <c r="Z210" s="37"/>
      <c r="AA210" s="37"/>
      <c r="AB210" s="38" t="s">
        <v>37</v>
      </c>
      <c r="AC210" s="38"/>
    </row>
    <row r="211" spans="1:29" s="1" customFormat="1" ht="13.5" customHeight="1">
      <c r="A211" s="32" t="s">
        <v>98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3" t="s">
        <v>97</v>
      </c>
      <c r="M211" s="33"/>
      <c r="N211" s="33"/>
      <c r="O211" s="33" t="s">
        <v>254</v>
      </c>
      <c r="P211" s="33"/>
      <c r="Q211" s="33"/>
      <c r="R211" s="34" t="s">
        <v>100</v>
      </c>
      <c r="S211" s="34"/>
      <c r="T211" s="35">
        <f>3163222.96</f>
        <v>3163222.96</v>
      </c>
      <c r="U211" s="35"/>
      <c r="V211" s="35"/>
      <c r="W211" s="35">
        <f>3163222.96</f>
        <v>3163222.96</v>
      </c>
      <c r="X211" s="35"/>
      <c r="Y211" s="35"/>
      <c r="Z211" s="35"/>
      <c r="AA211" s="35"/>
      <c r="AB211" s="36">
        <f aca="true" t="shared" si="4" ref="AB211:AB221">0</f>
        <v>0</v>
      </c>
      <c r="AC211" s="36"/>
    </row>
    <row r="212" spans="1:29" s="1" customFormat="1" ht="13.5" customHeight="1">
      <c r="A212" s="32" t="s">
        <v>101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3" t="s">
        <v>97</v>
      </c>
      <c r="M212" s="33"/>
      <c r="N212" s="33"/>
      <c r="O212" s="33" t="s">
        <v>255</v>
      </c>
      <c r="P212" s="33"/>
      <c r="Q212" s="33"/>
      <c r="R212" s="34" t="s">
        <v>103</v>
      </c>
      <c r="S212" s="34"/>
      <c r="T212" s="35">
        <f>944677.04</f>
        <v>944677.04</v>
      </c>
      <c r="U212" s="35"/>
      <c r="V212" s="35"/>
      <c r="W212" s="35">
        <f>944677.04</f>
        <v>944677.04</v>
      </c>
      <c r="X212" s="35"/>
      <c r="Y212" s="35"/>
      <c r="Z212" s="35"/>
      <c r="AA212" s="35"/>
      <c r="AB212" s="36">
        <f t="shared" si="4"/>
        <v>0</v>
      </c>
      <c r="AC212" s="36"/>
    </row>
    <row r="213" spans="1:29" s="1" customFormat="1" ht="13.5" customHeight="1">
      <c r="A213" s="32" t="s">
        <v>107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3" t="s">
        <v>97</v>
      </c>
      <c r="M213" s="33"/>
      <c r="N213" s="33"/>
      <c r="O213" s="33" t="s">
        <v>256</v>
      </c>
      <c r="P213" s="33"/>
      <c r="Q213" s="33"/>
      <c r="R213" s="34" t="s">
        <v>109</v>
      </c>
      <c r="S213" s="34"/>
      <c r="T213" s="35">
        <f>4500</f>
        <v>4500</v>
      </c>
      <c r="U213" s="35"/>
      <c r="V213" s="35"/>
      <c r="W213" s="35">
        <f>4500</f>
        <v>4500</v>
      </c>
      <c r="X213" s="35"/>
      <c r="Y213" s="35"/>
      <c r="Z213" s="35"/>
      <c r="AA213" s="35"/>
      <c r="AB213" s="36">
        <f t="shared" si="4"/>
        <v>0</v>
      </c>
      <c r="AC213" s="36"/>
    </row>
    <row r="214" spans="1:29" s="1" customFormat="1" ht="13.5" customHeight="1">
      <c r="A214" s="32" t="s">
        <v>112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3" t="s">
        <v>97</v>
      </c>
      <c r="M214" s="33"/>
      <c r="N214" s="33"/>
      <c r="O214" s="33" t="s">
        <v>256</v>
      </c>
      <c r="P214" s="33"/>
      <c r="Q214" s="33"/>
      <c r="R214" s="34" t="s">
        <v>113</v>
      </c>
      <c r="S214" s="34"/>
      <c r="T214" s="35">
        <f>11000.38</f>
        <v>11000.38</v>
      </c>
      <c r="U214" s="35"/>
      <c r="V214" s="35"/>
      <c r="W214" s="35">
        <f>11000.38</f>
        <v>11000.38</v>
      </c>
      <c r="X214" s="35"/>
      <c r="Y214" s="35"/>
      <c r="Z214" s="35"/>
      <c r="AA214" s="35"/>
      <c r="AB214" s="36">
        <f t="shared" si="4"/>
        <v>0</v>
      </c>
      <c r="AC214" s="36"/>
    </row>
    <row r="215" spans="1:29" s="1" customFormat="1" ht="13.5" customHeight="1">
      <c r="A215" s="32" t="s">
        <v>112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3" t="s">
        <v>97</v>
      </c>
      <c r="M215" s="33"/>
      <c r="N215" s="33"/>
      <c r="O215" s="33" t="s">
        <v>257</v>
      </c>
      <c r="P215" s="33"/>
      <c r="Q215" s="33"/>
      <c r="R215" s="34" t="s">
        <v>113</v>
      </c>
      <c r="S215" s="34"/>
      <c r="T215" s="35">
        <f>540</f>
        <v>540</v>
      </c>
      <c r="U215" s="35"/>
      <c r="V215" s="35"/>
      <c r="W215" s="35">
        <f>540</f>
        <v>540</v>
      </c>
      <c r="X215" s="35"/>
      <c r="Y215" s="35"/>
      <c r="Z215" s="35"/>
      <c r="AA215" s="35"/>
      <c r="AB215" s="36">
        <f t="shared" si="4"/>
        <v>0</v>
      </c>
      <c r="AC215" s="36"/>
    </row>
    <row r="216" spans="1:29" s="1" customFormat="1" ht="24" customHeight="1">
      <c r="A216" s="32" t="s">
        <v>131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3" t="s">
        <v>97</v>
      </c>
      <c r="M216" s="33"/>
      <c r="N216" s="33"/>
      <c r="O216" s="33" t="s">
        <v>257</v>
      </c>
      <c r="P216" s="33"/>
      <c r="Q216" s="33"/>
      <c r="R216" s="34" t="s">
        <v>133</v>
      </c>
      <c r="S216" s="34"/>
      <c r="T216" s="35">
        <f>82410</f>
        <v>82410</v>
      </c>
      <c r="U216" s="35"/>
      <c r="V216" s="35"/>
      <c r="W216" s="35">
        <f>82410</f>
        <v>82410</v>
      </c>
      <c r="X216" s="35"/>
      <c r="Y216" s="35"/>
      <c r="Z216" s="35"/>
      <c r="AA216" s="35"/>
      <c r="AB216" s="36">
        <f t="shared" si="4"/>
        <v>0</v>
      </c>
      <c r="AC216" s="36"/>
    </row>
    <row r="217" spans="1:29" s="1" customFormat="1" ht="13.5" customHeight="1">
      <c r="A217" s="32" t="s">
        <v>112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3" t="s">
        <v>97</v>
      </c>
      <c r="M217" s="33"/>
      <c r="N217" s="33"/>
      <c r="O217" s="33" t="s">
        <v>258</v>
      </c>
      <c r="P217" s="33"/>
      <c r="Q217" s="33"/>
      <c r="R217" s="34" t="s">
        <v>113</v>
      </c>
      <c r="S217" s="34"/>
      <c r="T217" s="35">
        <f>6000</f>
        <v>6000</v>
      </c>
      <c r="U217" s="35"/>
      <c r="V217" s="35"/>
      <c r="W217" s="35">
        <f>6000</f>
        <v>6000</v>
      </c>
      <c r="X217" s="35"/>
      <c r="Y217" s="35"/>
      <c r="Z217" s="35"/>
      <c r="AA217" s="35"/>
      <c r="AB217" s="36">
        <f t="shared" si="4"/>
        <v>0</v>
      </c>
      <c r="AC217" s="36"/>
    </row>
    <row r="218" spans="1:29" s="1" customFormat="1" ht="13.5" customHeight="1">
      <c r="A218" s="32" t="s">
        <v>155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3" t="s">
        <v>97</v>
      </c>
      <c r="M218" s="33"/>
      <c r="N218" s="33"/>
      <c r="O218" s="33" t="s">
        <v>258</v>
      </c>
      <c r="P218" s="33"/>
      <c r="Q218" s="33"/>
      <c r="R218" s="34" t="s">
        <v>156</v>
      </c>
      <c r="S218" s="34"/>
      <c r="T218" s="35">
        <f>36470</f>
        <v>36470</v>
      </c>
      <c r="U218" s="35"/>
      <c r="V218" s="35"/>
      <c r="W218" s="35">
        <f>36470</f>
        <v>36470</v>
      </c>
      <c r="X218" s="35"/>
      <c r="Y218" s="35"/>
      <c r="Z218" s="35"/>
      <c r="AA218" s="35"/>
      <c r="AB218" s="36">
        <f t="shared" si="4"/>
        <v>0</v>
      </c>
      <c r="AC218" s="36"/>
    </row>
    <row r="219" spans="1:29" s="1" customFormat="1" ht="24" customHeight="1">
      <c r="A219" s="32" t="s">
        <v>259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3" t="s">
        <v>97</v>
      </c>
      <c r="M219" s="33"/>
      <c r="N219" s="33"/>
      <c r="O219" s="33" t="s">
        <v>258</v>
      </c>
      <c r="P219" s="33"/>
      <c r="Q219" s="33"/>
      <c r="R219" s="34" t="s">
        <v>260</v>
      </c>
      <c r="S219" s="34"/>
      <c r="T219" s="35">
        <f>70000</f>
        <v>70000</v>
      </c>
      <c r="U219" s="35"/>
      <c r="V219" s="35"/>
      <c r="W219" s="35">
        <f>70000</f>
        <v>70000</v>
      </c>
      <c r="X219" s="35"/>
      <c r="Y219" s="35"/>
      <c r="Z219" s="35"/>
      <c r="AA219" s="35"/>
      <c r="AB219" s="36">
        <f t="shared" si="4"/>
        <v>0</v>
      </c>
      <c r="AC219" s="36"/>
    </row>
    <row r="220" spans="1:29" s="1" customFormat="1" ht="24" customHeight="1">
      <c r="A220" s="32" t="s">
        <v>131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3" t="s">
        <v>97</v>
      </c>
      <c r="M220" s="33"/>
      <c r="N220" s="33"/>
      <c r="O220" s="33" t="s">
        <v>258</v>
      </c>
      <c r="P220" s="33"/>
      <c r="Q220" s="33"/>
      <c r="R220" s="34" t="s">
        <v>133</v>
      </c>
      <c r="S220" s="34"/>
      <c r="T220" s="35">
        <f>4863.79</f>
        <v>4863.79</v>
      </c>
      <c r="U220" s="35"/>
      <c r="V220" s="35"/>
      <c r="W220" s="35">
        <f>4863.79</f>
        <v>4863.79</v>
      </c>
      <c r="X220" s="35"/>
      <c r="Y220" s="35"/>
      <c r="Z220" s="35"/>
      <c r="AA220" s="35"/>
      <c r="AB220" s="36">
        <f t="shared" si="4"/>
        <v>0</v>
      </c>
      <c r="AC220" s="36"/>
    </row>
    <row r="221" spans="1:29" s="1" customFormat="1" ht="13.5" customHeight="1">
      <c r="A221" s="32" t="s">
        <v>143</v>
      </c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3" t="s">
        <v>97</v>
      </c>
      <c r="M221" s="33"/>
      <c r="N221" s="33"/>
      <c r="O221" s="33" t="s">
        <v>261</v>
      </c>
      <c r="P221" s="33"/>
      <c r="Q221" s="33"/>
      <c r="R221" s="34" t="s">
        <v>144</v>
      </c>
      <c r="S221" s="34"/>
      <c r="T221" s="35">
        <f>20400</f>
        <v>20400</v>
      </c>
      <c r="U221" s="35"/>
      <c r="V221" s="35"/>
      <c r="W221" s="35">
        <f>20400</f>
        <v>20400</v>
      </c>
      <c r="X221" s="35"/>
      <c r="Y221" s="35"/>
      <c r="Z221" s="35"/>
      <c r="AA221" s="35"/>
      <c r="AB221" s="36">
        <f t="shared" si="4"/>
        <v>0</v>
      </c>
      <c r="AC221" s="36"/>
    </row>
    <row r="222" spans="1:29" s="1" customFormat="1" ht="13.5" customHeight="1">
      <c r="A222" s="32" t="s">
        <v>112</v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3" t="s">
        <v>97</v>
      </c>
      <c r="M222" s="33"/>
      <c r="N222" s="33"/>
      <c r="O222" s="33" t="s">
        <v>261</v>
      </c>
      <c r="P222" s="33"/>
      <c r="Q222" s="33"/>
      <c r="R222" s="34" t="s">
        <v>113</v>
      </c>
      <c r="S222" s="34"/>
      <c r="T222" s="35">
        <f>0</f>
        <v>0</v>
      </c>
      <c r="U222" s="35"/>
      <c r="V222" s="35"/>
      <c r="W222" s="37" t="s">
        <v>37</v>
      </c>
      <c r="X222" s="37"/>
      <c r="Y222" s="37"/>
      <c r="Z222" s="37"/>
      <c r="AA222" s="37"/>
      <c r="AB222" s="38" t="s">
        <v>37</v>
      </c>
      <c r="AC222" s="38"/>
    </row>
    <row r="223" spans="1:29" s="1" customFormat="1" ht="13.5" customHeight="1">
      <c r="A223" s="32" t="s">
        <v>262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3" t="s">
        <v>97</v>
      </c>
      <c r="M223" s="33"/>
      <c r="N223" s="33"/>
      <c r="O223" s="33" t="s">
        <v>261</v>
      </c>
      <c r="P223" s="33"/>
      <c r="Q223" s="33"/>
      <c r="R223" s="34" t="s">
        <v>263</v>
      </c>
      <c r="S223" s="34"/>
      <c r="T223" s="35">
        <f>0</f>
        <v>0</v>
      </c>
      <c r="U223" s="35"/>
      <c r="V223" s="35"/>
      <c r="W223" s="37" t="s">
        <v>37</v>
      </c>
      <c r="X223" s="37"/>
      <c r="Y223" s="37"/>
      <c r="Z223" s="37"/>
      <c r="AA223" s="37"/>
      <c r="AB223" s="38" t="s">
        <v>37</v>
      </c>
      <c r="AC223" s="38"/>
    </row>
    <row r="224" spans="1:29" s="1" customFormat="1" ht="13.5" customHeight="1">
      <c r="A224" s="32" t="s">
        <v>149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3" t="s">
        <v>97</v>
      </c>
      <c r="M224" s="33"/>
      <c r="N224" s="33"/>
      <c r="O224" s="33" t="s">
        <v>261</v>
      </c>
      <c r="P224" s="33"/>
      <c r="Q224" s="33"/>
      <c r="R224" s="34" t="s">
        <v>150</v>
      </c>
      <c r="S224" s="34"/>
      <c r="T224" s="35">
        <f>17300</f>
        <v>17300</v>
      </c>
      <c r="U224" s="35"/>
      <c r="V224" s="35"/>
      <c r="W224" s="35">
        <f>17300</f>
        <v>17300</v>
      </c>
      <c r="X224" s="35"/>
      <c r="Y224" s="35"/>
      <c r="Z224" s="35"/>
      <c r="AA224" s="35"/>
      <c r="AB224" s="36">
        <f>0</f>
        <v>0</v>
      </c>
      <c r="AC224" s="36"/>
    </row>
    <row r="225" spans="1:29" s="1" customFormat="1" ht="13.5" customHeight="1">
      <c r="A225" s="32" t="s">
        <v>155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3" t="s">
        <v>97</v>
      </c>
      <c r="M225" s="33"/>
      <c r="N225" s="33"/>
      <c r="O225" s="33" t="s">
        <v>261</v>
      </c>
      <c r="P225" s="33"/>
      <c r="Q225" s="33"/>
      <c r="R225" s="34" t="s">
        <v>156</v>
      </c>
      <c r="S225" s="34"/>
      <c r="T225" s="35">
        <f>11300</f>
        <v>11300</v>
      </c>
      <c r="U225" s="35"/>
      <c r="V225" s="35"/>
      <c r="W225" s="35">
        <f>11300</f>
        <v>11300</v>
      </c>
      <c r="X225" s="35"/>
      <c r="Y225" s="35"/>
      <c r="Z225" s="35"/>
      <c r="AA225" s="35"/>
      <c r="AB225" s="36">
        <f>0</f>
        <v>0</v>
      </c>
      <c r="AC225" s="36"/>
    </row>
    <row r="226" spans="1:29" s="1" customFormat="1" ht="24" customHeight="1">
      <c r="A226" s="32" t="s">
        <v>259</v>
      </c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3" t="s">
        <v>97</v>
      </c>
      <c r="M226" s="33"/>
      <c r="N226" s="33"/>
      <c r="O226" s="33" t="s">
        <v>261</v>
      </c>
      <c r="P226" s="33"/>
      <c r="Q226" s="33"/>
      <c r="R226" s="34" t="s">
        <v>260</v>
      </c>
      <c r="S226" s="34"/>
      <c r="T226" s="35">
        <f>30000</f>
        <v>30000</v>
      </c>
      <c r="U226" s="35"/>
      <c r="V226" s="35"/>
      <c r="W226" s="35">
        <f>30000</f>
        <v>30000</v>
      </c>
      <c r="X226" s="35"/>
      <c r="Y226" s="35"/>
      <c r="Z226" s="35"/>
      <c r="AA226" s="35"/>
      <c r="AB226" s="36">
        <f>0</f>
        <v>0</v>
      </c>
      <c r="AC226" s="36"/>
    </row>
    <row r="227" spans="1:29" s="1" customFormat="1" ht="24" customHeight="1">
      <c r="A227" s="32" t="s">
        <v>131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3" t="s">
        <v>97</v>
      </c>
      <c r="M227" s="33"/>
      <c r="N227" s="33"/>
      <c r="O227" s="33" t="s">
        <v>261</v>
      </c>
      <c r="P227" s="33"/>
      <c r="Q227" s="33"/>
      <c r="R227" s="34" t="s">
        <v>133</v>
      </c>
      <c r="S227" s="34"/>
      <c r="T227" s="35">
        <f>0</f>
        <v>0</v>
      </c>
      <c r="U227" s="35"/>
      <c r="V227" s="35"/>
      <c r="W227" s="37" t="s">
        <v>37</v>
      </c>
      <c r="X227" s="37"/>
      <c r="Y227" s="37"/>
      <c r="Z227" s="37"/>
      <c r="AA227" s="37"/>
      <c r="AB227" s="38" t="s">
        <v>37</v>
      </c>
      <c r="AC227" s="38"/>
    </row>
    <row r="228" spans="1:29" s="1" customFormat="1" ht="24" customHeight="1">
      <c r="A228" s="32" t="s">
        <v>264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3" t="s">
        <v>97</v>
      </c>
      <c r="M228" s="33"/>
      <c r="N228" s="33"/>
      <c r="O228" s="33" t="s">
        <v>265</v>
      </c>
      <c r="P228" s="33"/>
      <c r="Q228" s="33"/>
      <c r="R228" s="34" t="s">
        <v>266</v>
      </c>
      <c r="S228" s="34"/>
      <c r="T228" s="35">
        <f>547710</f>
        <v>547710</v>
      </c>
      <c r="U228" s="35"/>
      <c r="V228" s="35"/>
      <c r="W228" s="35">
        <f>547710</f>
        <v>547710</v>
      </c>
      <c r="X228" s="35"/>
      <c r="Y228" s="35"/>
      <c r="Z228" s="35"/>
      <c r="AA228" s="35"/>
      <c r="AB228" s="36">
        <f>0</f>
        <v>0</v>
      </c>
      <c r="AC228" s="36"/>
    </row>
    <row r="229" spans="1:29" s="1" customFormat="1" ht="24" customHeight="1">
      <c r="A229" s="32" t="s">
        <v>131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3" t="s">
        <v>97</v>
      </c>
      <c r="M229" s="33"/>
      <c r="N229" s="33"/>
      <c r="O229" s="33" t="s">
        <v>267</v>
      </c>
      <c r="P229" s="33"/>
      <c r="Q229" s="33"/>
      <c r="R229" s="34" t="s">
        <v>133</v>
      </c>
      <c r="S229" s="34"/>
      <c r="T229" s="35">
        <f>12000</f>
        <v>12000</v>
      </c>
      <c r="U229" s="35"/>
      <c r="V229" s="35"/>
      <c r="W229" s="35">
        <f>12000</f>
        <v>12000</v>
      </c>
      <c r="X229" s="35"/>
      <c r="Y229" s="35"/>
      <c r="Z229" s="35"/>
      <c r="AA229" s="35"/>
      <c r="AB229" s="36">
        <f>0</f>
        <v>0</v>
      </c>
      <c r="AC229" s="36"/>
    </row>
    <row r="230" spans="1:29" s="1" customFormat="1" ht="15" customHeight="1">
      <c r="A230" s="39" t="s">
        <v>268</v>
      </c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40" t="s">
        <v>269</v>
      </c>
      <c r="M230" s="40"/>
      <c r="N230" s="40"/>
      <c r="O230" s="40" t="s">
        <v>36</v>
      </c>
      <c r="P230" s="40"/>
      <c r="Q230" s="40"/>
      <c r="R230" s="41" t="s">
        <v>36</v>
      </c>
      <c r="S230" s="41"/>
      <c r="T230" s="42">
        <f>-3330939.96</f>
        <v>-3330939.96</v>
      </c>
      <c r="U230" s="42"/>
      <c r="V230" s="42"/>
      <c r="W230" s="42">
        <f>-612837.6</f>
        <v>-612837.6</v>
      </c>
      <c r="X230" s="42"/>
      <c r="Y230" s="42"/>
      <c r="Z230" s="42"/>
      <c r="AA230" s="42"/>
      <c r="AB230" s="43" t="s">
        <v>36</v>
      </c>
      <c r="AC230" s="43"/>
    </row>
    <row r="231" spans="1:29" s="1" customFormat="1" ht="13.5" customHeight="1">
      <c r="A231" s="7" t="s">
        <v>10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s="1" customFormat="1" ht="13.5" customHeight="1">
      <c r="A232" s="12" t="s">
        <v>270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</row>
    <row r="233" spans="1:29" s="1" customFormat="1" ht="45.75" customHeight="1">
      <c r="A233" s="13" t="s">
        <v>22</v>
      </c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 t="s">
        <v>23</v>
      </c>
      <c r="N233" s="13"/>
      <c r="O233" s="13"/>
      <c r="P233" s="13" t="s">
        <v>271</v>
      </c>
      <c r="Q233" s="13"/>
      <c r="R233" s="13"/>
      <c r="S233" s="14" t="s">
        <v>25</v>
      </c>
      <c r="T233" s="14"/>
      <c r="U233" s="14"/>
      <c r="V233" s="14" t="s">
        <v>26</v>
      </c>
      <c r="W233" s="14"/>
      <c r="X233" s="14"/>
      <c r="Y233" s="14"/>
      <c r="Z233" s="14"/>
      <c r="AA233" s="15" t="s">
        <v>27</v>
      </c>
      <c r="AB233" s="15"/>
      <c r="AC233" s="15"/>
    </row>
    <row r="234" spans="1:29" s="1" customFormat="1" ht="12.75" customHeight="1">
      <c r="A234" s="16" t="s">
        <v>28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 t="s">
        <v>29</v>
      </c>
      <c r="N234" s="16"/>
      <c r="O234" s="16"/>
      <c r="P234" s="16" t="s">
        <v>30</v>
      </c>
      <c r="Q234" s="16"/>
      <c r="R234" s="16"/>
      <c r="S234" s="17" t="s">
        <v>31</v>
      </c>
      <c r="T234" s="17"/>
      <c r="U234" s="17"/>
      <c r="V234" s="17" t="s">
        <v>32</v>
      </c>
      <c r="W234" s="17"/>
      <c r="X234" s="17"/>
      <c r="Y234" s="17"/>
      <c r="Z234" s="17"/>
      <c r="AA234" s="18" t="s">
        <v>33</v>
      </c>
      <c r="AB234" s="18"/>
      <c r="AC234" s="18"/>
    </row>
    <row r="235" spans="1:29" s="1" customFormat="1" ht="13.5" customHeight="1">
      <c r="A235" s="19" t="s">
        <v>272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0" t="s">
        <v>273</v>
      </c>
      <c r="N235" s="20"/>
      <c r="O235" s="20"/>
      <c r="P235" s="20" t="s">
        <v>36</v>
      </c>
      <c r="Q235" s="20"/>
      <c r="R235" s="20"/>
      <c r="S235" s="44">
        <f>3330939.96</f>
        <v>3330939.96</v>
      </c>
      <c r="T235" s="44"/>
      <c r="U235" s="44"/>
      <c r="V235" s="21">
        <f>612837.6</f>
        <v>612837.6</v>
      </c>
      <c r="W235" s="21"/>
      <c r="X235" s="21"/>
      <c r="Y235" s="21"/>
      <c r="Z235" s="21"/>
      <c r="AA235" s="45" t="s">
        <v>36</v>
      </c>
      <c r="AB235" s="45"/>
      <c r="AC235" s="45"/>
    </row>
    <row r="236" spans="1:29" s="1" customFormat="1" ht="13.5" customHeight="1">
      <c r="A236" s="46" t="s">
        <v>274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7" t="s">
        <v>10</v>
      </c>
      <c r="N236" s="47"/>
      <c r="O236" s="47"/>
      <c r="P236" s="47" t="s">
        <v>10</v>
      </c>
      <c r="Q236" s="47"/>
      <c r="R236" s="47"/>
      <c r="S236" s="48" t="s">
        <v>10</v>
      </c>
      <c r="T236" s="48"/>
      <c r="U236" s="48"/>
      <c r="V236" s="49" t="s">
        <v>10</v>
      </c>
      <c r="W236" s="49"/>
      <c r="X236" s="49"/>
      <c r="Y236" s="49"/>
      <c r="Z236" s="49"/>
      <c r="AA236" s="50" t="s">
        <v>10</v>
      </c>
      <c r="AB236" s="50"/>
      <c r="AC236" s="50"/>
    </row>
    <row r="237" spans="1:29" s="1" customFormat="1" ht="13.5" customHeight="1">
      <c r="A237" s="23" t="s">
        <v>275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51" t="s">
        <v>276</v>
      </c>
      <c r="N237" s="51"/>
      <c r="O237" s="51"/>
      <c r="P237" s="24" t="s">
        <v>36</v>
      </c>
      <c r="Q237" s="24"/>
      <c r="R237" s="24"/>
      <c r="S237" s="52" t="s">
        <v>37</v>
      </c>
      <c r="T237" s="52"/>
      <c r="U237" s="52"/>
      <c r="V237" s="28" t="s">
        <v>37</v>
      </c>
      <c r="W237" s="28"/>
      <c r="X237" s="28"/>
      <c r="Y237" s="28"/>
      <c r="Z237" s="28"/>
      <c r="AA237" s="53" t="s">
        <v>37</v>
      </c>
      <c r="AB237" s="53"/>
      <c r="AC237" s="53"/>
    </row>
    <row r="238" spans="1:29" s="1" customFormat="1" ht="13.5" customHeight="1">
      <c r="A238" s="32" t="s">
        <v>10</v>
      </c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3" t="s">
        <v>276</v>
      </c>
      <c r="N238" s="33"/>
      <c r="O238" s="33"/>
      <c r="P238" s="33" t="s">
        <v>10</v>
      </c>
      <c r="Q238" s="33"/>
      <c r="R238" s="33"/>
      <c r="S238" s="54" t="s">
        <v>37</v>
      </c>
      <c r="T238" s="54"/>
      <c r="U238" s="54"/>
      <c r="V238" s="37" t="s">
        <v>37</v>
      </c>
      <c r="W238" s="37"/>
      <c r="X238" s="37"/>
      <c r="Y238" s="37"/>
      <c r="Z238" s="37"/>
      <c r="AA238" s="55" t="s">
        <v>37</v>
      </c>
      <c r="AB238" s="55"/>
      <c r="AC238" s="55"/>
    </row>
    <row r="239" spans="1:29" s="1" customFormat="1" ht="13.5" customHeight="1">
      <c r="A239" s="32" t="s">
        <v>277</v>
      </c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47" t="s">
        <v>278</v>
      </c>
      <c r="N239" s="47"/>
      <c r="O239" s="47"/>
      <c r="P239" s="47" t="s">
        <v>36</v>
      </c>
      <c r="Q239" s="47"/>
      <c r="R239" s="47"/>
      <c r="S239" s="48" t="s">
        <v>37</v>
      </c>
      <c r="T239" s="48"/>
      <c r="U239" s="48"/>
      <c r="V239" s="37" t="s">
        <v>37</v>
      </c>
      <c r="W239" s="37"/>
      <c r="X239" s="37"/>
      <c r="Y239" s="37"/>
      <c r="Z239" s="37"/>
      <c r="AA239" s="50" t="s">
        <v>37</v>
      </c>
      <c r="AB239" s="50"/>
      <c r="AC239" s="50"/>
    </row>
    <row r="240" spans="1:29" s="1" customFormat="1" ht="13.5" customHeight="1">
      <c r="A240" s="32" t="s">
        <v>10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3" t="s">
        <v>278</v>
      </c>
      <c r="N240" s="33"/>
      <c r="O240" s="33"/>
      <c r="P240" s="33" t="s">
        <v>10</v>
      </c>
      <c r="Q240" s="33"/>
      <c r="R240" s="33"/>
      <c r="S240" s="54" t="s">
        <v>37</v>
      </c>
      <c r="T240" s="54"/>
      <c r="U240" s="54"/>
      <c r="V240" s="37" t="s">
        <v>37</v>
      </c>
      <c r="W240" s="37"/>
      <c r="X240" s="37"/>
      <c r="Y240" s="37"/>
      <c r="Z240" s="37"/>
      <c r="AA240" s="55" t="s">
        <v>37</v>
      </c>
      <c r="AB240" s="55"/>
      <c r="AC240" s="55"/>
    </row>
    <row r="241" spans="1:29" s="1" customFormat="1" ht="13.5" customHeight="1">
      <c r="A241" s="32" t="s">
        <v>279</v>
      </c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3" t="s">
        <v>280</v>
      </c>
      <c r="N241" s="33"/>
      <c r="O241" s="33"/>
      <c r="P241" s="33" t="s">
        <v>281</v>
      </c>
      <c r="Q241" s="33"/>
      <c r="R241" s="33"/>
      <c r="S241" s="56">
        <f>3330939.96</f>
        <v>3330939.96</v>
      </c>
      <c r="T241" s="56"/>
      <c r="U241" s="56"/>
      <c r="V241" s="35">
        <f>612837.6</f>
        <v>612837.6</v>
      </c>
      <c r="W241" s="35"/>
      <c r="X241" s="35"/>
      <c r="Y241" s="35"/>
      <c r="Z241" s="35"/>
      <c r="AA241" s="57">
        <f>2718102.36</f>
        <v>2718102.36</v>
      </c>
      <c r="AB241" s="57"/>
      <c r="AC241" s="57"/>
    </row>
    <row r="242" spans="1:29" s="1" customFormat="1" ht="13.5" customHeight="1">
      <c r="A242" s="32" t="s">
        <v>282</v>
      </c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3" t="s">
        <v>283</v>
      </c>
      <c r="N242" s="33"/>
      <c r="O242" s="33"/>
      <c r="P242" s="33" t="s">
        <v>284</v>
      </c>
      <c r="Q242" s="33"/>
      <c r="R242" s="33"/>
      <c r="S242" s="56">
        <f>-58217212.64</f>
        <v>-58217212.64</v>
      </c>
      <c r="T242" s="56"/>
      <c r="U242" s="56"/>
      <c r="V242" s="35">
        <f>-59088713.71</f>
        <v>-59088713.71</v>
      </c>
      <c r="W242" s="35"/>
      <c r="X242" s="35"/>
      <c r="Y242" s="35"/>
      <c r="Z242" s="35"/>
      <c r="AA242" s="58" t="s">
        <v>36</v>
      </c>
      <c r="AB242" s="58"/>
      <c r="AC242" s="58"/>
    </row>
    <row r="243" spans="1:29" s="1" customFormat="1" ht="13.5" customHeight="1">
      <c r="A243" s="32" t="s">
        <v>285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3" t="s">
        <v>286</v>
      </c>
      <c r="N243" s="33"/>
      <c r="O243" s="33"/>
      <c r="P243" s="33" t="s">
        <v>287</v>
      </c>
      <c r="Q243" s="33"/>
      <c r="R243" s="33"/>
      <c r="S243" s="56">
        <f>61548152.6</f>
        <v>61548152.6</v>
      </c>
      <c r="T243" s="56"/>
      <c r="U243" s="56"/>
      <c r="V243" s="35">
        <f>59701551.31</f>
        <v>59701551.31</v>
      </c>
      <c r="W243" s="35"/>
      <c r="X243" s="35"/>
      <c r="Y243" s="35"/>
      <c r="Z243" s="35"/>
      <c r="AA243" s="58" t="s">
        <v>36</v>
      </c>
      <c r="AB243" s="58"/>
      <c r="AC243" s="58"/>
    </row>
    <row r="244" spans="1:29" s="1" customFormat="1" ht="13.5" customHeight="1">
      <c r="A244" s="60" t="s">
        <v>10</v>
      </c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</row>
    <row r="245" spans="1:29" s="1" customFormat="1" ht="13.5" customHeight="1">
      <c r="A245" s="7" t="s">
        <v>288</v>
      </c>
      <c r="B245" s="7"/>
      <c r="C245" s="7"/>
      <c r="D245" s="7"/>
      <c r="E245" s="7"/>
      <c r="F245" s="7"/>
      <c r="G245" s="7"/>
      <c r="H245" s="7"/>
      <c r="I245" s="59" t="s">
        <v>10</v>
      </c>
      <c r="J245" s="59"/>
      <c r="K245" s="59"/>
      <c r="L245" s="59"/>
      <c r="M245" s="59"/>
      <c r="N245" s="59"/>
      <c r="O245" s="59"/>
      <c r="P245" s="59" t="s">
        <v>289</v>
      </c>
      <c r="Q245" s="59"/>
      <c r="R245" s="59"/>
      <c r="S245" s="59"/>
      <c r="T245" s="59"/>
      <c r="U245" s="7" t="s">
        <v>10</v>
      </c>
      <c r="V245" s="7"/>
      <c r="W245" s="7"/>
      <c r="X245" s="7"/>
      <c r="Y245" s="7"/>
      <c r="Z245" s="7"/>
      <c r="AA245" s="7"/>
      <c r="AB245" s="7"/>
      <c r="AC245" s="7"/>
    </row>
    <row r="246" spans="1:29" s="1" customFormat="1" ht="13.5" customHeight="1">
      <c r="A246" s="7" t="s">
        <v>10</v>
      </c>
      <c r="B246" s="7"/>
      <c r="C246" s="7"/>
      <c r="D246" s="7"/>
      <c r="E246" s="7"/>
      <c r="F246" s="7"/>
      <c r="G246" s="7"/>
      <c r="H246" s="7"/>
      <c r="I246" s="10" t="s">
        <v>10</v>
      </c>
      <c r="J246" s="61" t="s">
        <v>290</v>
      </c>
      <c r="K246" s="61"/>
      <c r="L246" s="61"/>
      <c r="M246" s="61"/>
      <c r="N246" s="7" t="s">
        <v>10</v>
      </c>
      <c r="O246" s="7"/>
      <c r="P246" s="10" t="s">
        <v>10</v>
      </c>
      <c r="Q246" s="61" t="s">
        <v>291</v>
      </c>
      <c r="R246" s="61"/>
      <c r="S246" s="61"/>
      <c r="T246" s="7" t="s">
        <v>10</v>
      </c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s="1" customFormat="1" ht="7.5" customHeight="1">
      <c r="A247" s="7" t="s">
        <v>10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s="1" customFormat="1" ht="13.5" customHeight="1">
      <c r="A248" s="7" t="s">
        <v>292</v>
      </c>
      <c r="B248" s="7"/>
      <c r="C248" s="7"/>
      <c r="D248" s="7"/>
      <c r="E248" s="7"/>
      <c r="F248" s="7"/>
      <c r="G248" s="7"/>
      <c r="H248" s="7"/>
      <c r="I248" s="59" t="s">
        <v>10</v>
      </c>
      <c r="J248" s="59"/>
      <c r="K248" s="59"/>
      <c r="L248" s="59"/>
      <c r="M248" s="59"/>
      <c r="N248" s="59"/>
      <c r="O248" s="59"/>
      <c r="P248" s="59" t="s">
        <v>293</v>
      </c>
      <c r="Q248" s="59"/>
      <c r="R248" s="59"/>
      <c r="S248" s="59"/>
      <c r="T248" s="59"/>
      <c r="U248" s="7" t="s">
        <v>10</v>
      </c>
      <c r="V248" s="7"/>
      <c r="W248" s="7"/>
      <c r="X248" s="7"/>
      <c r="Y248" s="7"/>
      <c r="Z248" s="7"/>
      <c r="AA248" s="7"/>
      <c r="AB248" s="7"/>
      <c r="AC248" s="7"/>
    </row>
    <row r="249" spans="1:29" s="1" customFormat="1" ht="13.5" customHeight="1">
      <c r="A249" s="7" t="s">
        <v>10</v>
      </c>
      <c r="B249" s="7"/>
      <c r="C249" s="7"/>
      <c r="D249" s="7"/>
      <c r="E249" s="7"/>
      <c r="F249" s="7"/>
      <c r="G249" s="7"/>
      <c r="H249" s="7"/>
      <c r="I249" s="10" t="s">
        <v>10</v>
      </c>
      <c r="J249" s="61" t="s">
        <v>290</v>
      </c>
      <c r="K249" s="61"/>
      <c r="L249" s="61"/>
      <c r="M249" s="61"/>
      <c r="N249" s="7" t="s">
        <v>10</v>
      </c>
      <c r="O249" s="7"/>
      <c r="P249" s="10" t="s">
        <v>10</v>
      </c>
      <c r="Q249" s="61" t="s">
        <v>291</v>
      </c>
      <c r="R249" s="61"/>
      <c r="S249" s="61"/>
      <c r="T249" s="7" t="s">
        <v>10</v>
      </c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s="1" customFormat="1" ht="7.5" customHeight="1">
      <c r="A250" s="7" t="s">
        <v>10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s="1" customFormat="1" ht="13.5" customHeight="1">
      <c r="A251" s="7" t="s">
        <v>294</v>
      </c>
      <c r="B251" s="7"/>
      <c r="C251" s="59" t="s">
        <v>292</v>
      </c>
      <c r="D251" s="59"/>
      <c r="E251" s="59"/>
      <c r="F251" s="59"/>
      <c r="G251" s="59"/>
      <c r="H251" s="59"/>
      <c r="I251" s="59" t="s">
        <v>10</v>
      </c>
      <c r="J251" s="59"/>
      <c r="K251" s="59"/>
      <c r="L251" s="59"/>
      <c r="M251" s="59"/>
      <c r="N251" s="59"/>
      <c r="O251" s="59"/>
      <c r="P251" s="59" t="s">
        <v>293</v>
      </c>
      <c r="Q251" s="59"/>
      <c r="R251" s="59"/>
      <c r="S251" s="59"/>
      <c r="T251" s="59"/>
      <c r="U251" s="7" t="s">
        <v>10</v>
      </c>
      <c r="V251" s="7"/>
      <c r="W251" s="7"/>
      <c r="X251" s="7"/>
      <c r="Y251" s="7"/>
      <c r="Z251" s="7"/>
      <c r="AA251" s="7"/>
      <c r="AB251" s="7"/>
      <c r="AC251" s="7"/>
    </row>
    <row r="252" spans="1:29" s="1" customFormat="1" ht="13.5" customHeight="1">
      <c r="A252" s="7" t="s">
        <v>10</v>
      </c>
      <c r="B252" s="7"/>
      <c r="C252" s="10" t="s">
        <v>10</v>
      </c>
      <c r="D252" s="61" t="s">
        <v>295</v>
      </c>
      <c r="E252" s="61"/>
      <c r="F252" s="61"/>
      <c r="G252" s="61"/>
      <c r="H252" s="10" t="s">
        <v>10</v>
      </c>
      <c r="I252" s="10" t="s">
        <v>10</v>
      </c>
      <c r="J252" s="61" t="s">
        <v>290</v>
      </c>
      <c r="K252" s="61"/>
      <c r="L252" s="61"/>
      <c r="M252" s="61"/>
      <c r="N252" s="7" t="s">
        <v>10</v>
      </c>
      <c r="O252" s="7"/>
      <c r="P252" s="10" t="s">
        <v>10</v>
      </c>
      <c r="Q252" s="61" t="s">
        <v>291</v>
      </c>
      <c r="R252" s="61"/>
      <c r="S252" s="61"/>
      <c r="T252" s="7" t="s">
        <v>10</v>
      </c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s="1" customFormat="1" ht="15.75" customHeight="1">
      <c r="A253" s="7" t="s">
        <v>10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s="1" customFormat="1" ht="13.5" customHeight="1">
      <c r="A254" s="62" t="s">
        <v>296</v>
      </c>
      <c r="B254" s="62"/>
      <c r="C254" s="62"/>
      <c r="D254" s="62"/>
      <c r="E254" s="62"/>
      <c r="F254" s="62"/>
      <c r="G254" s="62"/>
      <c r="H254" s="62"/>
      <c r="I254" s="62"/>
      <c r="J254" s="62"/>
      <c r="K254" s="7" t="s">
        <v>10</v>
      </c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s="1" customFormat="1" ht="13.5" customHeight="1">
      <c r="A255" s="4" t="s">
        <v>297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</sheetData>
  <sheetProtection/>
  <mergeCells count="1625">
    <mergeCell ref="A253:AC253"/>
    <mergeCell ref="A254:J254"/>
    <mergeCell ref="K254:AC254"/>
    <mergeCell ref="A255:AC255"/>
    <mergeCell ref="A252:B252"/>
    <mergeCell ref="D252:G252"/>
    <mergeCell ref="J252:M252"/>
    <mergeCell ref="N252:O252"/>
    <mergeCell ref="Q252:S252"/>
    <mergeCell ref="T252:AC252"/>
    <mergeCell ref="A250:AC250"/>
    <mergeCell ref="A251:B251"/>
    <mergeCell ref="C251:H251"/>
    <mergeCell ref="I251:O251"/>
    <mergeCell ref="P251:T251"/>
    <mergeCell ref="U251:AC251"/>
    <mergeCell ref="A247:AC247"/>
    <mergeCell ref="A248:H248"/>
    <mergeCell ref="I248:O248"/>
    <mergeCell ref="P248:T248"/>
    <mergeCell ref="U248:AC248"/>
    <mergeCell ref="A249:H249"/>
    <mergeCell ref="J249:M249"/>
    <mergeCell ref="N249:O249"/>
    <mergeCell ref="Q249:S249"/>
    <mergeCell ref="T249:AC249"/>
    <mergeCell ref="A244:AC244"/>
    <mergeCell ref="A245:H245"/>
    <mergeCell ref="I245:O245"/>
    <mergeCell ref="P245:T245"/>
    <mergeCell ref="U245:AC245"/>
    <mergeCell ref="A246:H246"/>
    <mergeCell ref="J246:M246"/>
    <mergeCell ref="N246:O246"/>
    <mergeCell ref="Q246:S246"/>
    <mergeCell ref="T246:AC246"/>
    <mergeCell ref="A243:L243"/>
    <mergeCell ref="M243:O243"/>
    <mergeCell ref="P243:R243"/>
    <mergeCell ref="S243:U243"/>
    <mergeCell ref="V243:Z243"/>
    <mergeCell ref="AA243:AC243"/>
    <mergeCell ref="A242:L242"/>
    <mergeCell ref="M242:O242"/>
    <mergeCell ref="P242:R242"/>
    <mergeCell ref="S242:U242"/>
    <mergeCell ref="V242:Z242"/>
    <mergeCell ref="AA242:AC242"/>
    <mergeCell ref="A241:L241"/>
    <mergeCell ref="M241:O241"/>
    <mergeCell ref="P241:R241"/>
    <mergeCell ref="S241:U241"/>
    <mergeCell ref="V241:Z241"/>
    <mergeCell ref="AA241:AC241"/>
    <mergeCell ref="A240:L240"/>
    <mergeCell ref="M240:O240"/>
    <mergeCell ref="P240:R240"/>
    <mergeCell ref="S240:U240"/>
    <mergeCell ref="V240:Z240"/>
    <mergeCell ref="AA240:AC240"/>
    <mergeCell ref="A239:L239"/>
    <mergeCell ref="M239:O239"/>
    <mergeCell ref="P239:R239"/>
    <mergeCell ref="S239:U239"/>
    <mergeCell ref="V239:Z239"/>
    <mergeCell ref="AA239:AC239"/>
    <mergeCell ref="A238:L238"/>
    <mergeCell ref="M238:O238"/>
    <mergeCell ref="P238:R238"/>
    <mergeCell ref="S238:U238"/>
    <mergeCell ref="V238:Z238"/>
    <mergeCell ref="AA238:AC238"/>
    <mergeCell ref="A237:L237"/>
    <mergeCell ref="M237:O237"/>
    <mergeCell ref="P237:R237"/>
    <mergeCell ref="S237:U237"/>
    <mergeCell ref="V237:Z237"/>
    <mergeCell ref="AA237:AC237"/>
    <mergeCell ref="A236:L236"/>
    <mergeCell ref="M236:O236"/>
    <mergeCell ref="P236:R236"/>
    <mergeCell ref="S236:U236"/>
    <mergeCell ref="V236:Z236"/>
    <mergeCell ref="AA236:AC236"/>
    <mergeCell ref="A235:L235"/>
    <mergeCell ref="M235:O235"/>
    <mergeCell ref="P235:R235"/>
    <mergeCell ref="S235:U235"/>
    <mergeCell ref="V235:Z235"/>
    <mergeCell ref="AA235:AC235"/>
    <mergeCell ref="A234:L234"/>
    <mergeCell ref="M234:O234"/>
    <mergeCell ref="P234:R234"/>
    <mergeCell ref="S234:U234"/>
    <mergeCell ref="V234:Z234"/>
    <mergeCell ref="AA234:AC234"/>
    <mergeCell ref="A231:AC231"/>
    <mergeCell ref="A232:AC232"/>
    <mergeCell ref="A233:L233"/>
    <mergeCell ref="M233:O233"/>
    <mergeCell ref="P233:R233"/>
    <mergeCell ref="S233:U233"/>
    <mergeCell ref="V233:Z233"/>
    <mergeCell ref="AA233:AC233"/>
    <mergeCell ref="AB229:AC229"/>
    <mergeCell ref="A230:K230"/>
    <mergeCell ref="L230:N230"/>
    <mergeCell ref="O230:Q230"/>
    <mergeCell ref="R230:S230"/>
    <mergeCell ref="T230:V230"/>
    <mergeCell ref="W230:AA230"/>
    <mergeCell ref="AB230:AC230"/>
    <mergeCell ref="A229:K229"/>
    <mergeCell ref="L229:N229"/>
    <mergeCell ref="O229:Q229"/>
    <mergeCell ref="R229:S229"/>
    <mergeCell ref="T229:V229"/>
    <mergeCell ref="W229:AA229"/>
    <mergeCell ref="AB227:AC227"/>
    <mergeCell ref="A228:K228"/>
    <mergeCell ref="L228:N228"/>
    <mergeCell ref="O228:Q228"/>
    <mergeCell ref="R228:S228"/>
    <mergeCell ref="T228:V228"/>
    <mergeCell ref="W228:AA228"/>
    <mergeCell ref="AB228:AC228"/>
    <mergeCell ref="A227:K227"/>
    <mergeCell ref="L227:N227"/>
    <mergeCell ref="O227:Q227"/>
    <mergeCell ref="R227:S227"/>
    <mergeCell ref="T227:V227"/>
    <mergeCell ref="W227:AA227"/>
    <mergeCell ref="AB225:AC225"/>
    <mergeCell ref="A226:K226"/>
    <mergeCell ref="L226:N226"/>
    <mergeCell ref="O226:Q226"/>
    <mergeCell ref="R226:S226"/>
    <mergeCell ref="T226:V226"/>
    <mergeCell ref="W226:AA226"/>
    <mergeCell ref="AB226:AC226"/>
    <mergeCell ref="A225:K225"/>
    <mergeCell ref="L225:N225"/>
    <mergeCell ref="O225:Q225"/>
    <mergeCell ref="R225:S225"/>
    <mergeCell ref="T225:V225"/>
    <mergeCell ref="W225:AA225"/>
    <mergeCell ref="AB223:AC223"/>
    <mergeCell ref="A224:K224"/>
    <mergeCell ref="L224:N224"/>
    <mergeCell ref="O224:Q224"/>
    <mergeCell ref="R224:S224"/>
    <mergeCell ref="T224:V224"/>
    <mergeCell ref="W224:AA224"/>
    <mergeCell ref="AB224:AC224"/>
    <mergeCell ref="A223:K223"/>
    <mergeCell ref="L223:N223"/>
    <mergeCell ref="O223:Q223"/>
    <mergeCell ref="R223:S223"/>
    <mergeCell ref="T223:V223"/>
    <mergeCell ref="W223:AA223"/>
    <mergeCell ref="AB221:AC221"/>
    <mergeCell ref="A222:K222"/>
    <mergeCell ref="L222:N222"/>
    <mergeCell ref="O222:Q222"/>
    <mergeCell ref="R222:S222"/>
    <mergeCell ref="T222:V222"/>
    <mergeCell ref="W222:AA222"/>
    <mergeCell ref="AB222:AC222"/>
    <mergeCell ref="A221:K221"/>
    <mergeCell ref="L221:N221"/>
    <mergeCell ref="O221:Q221"/>
    <mergeCell ref="R221:S221"/>
    <mergeCell ref="T221:V221"/>
    <mergeCell ref="W221:AA221"/>
    <mergeCell ref="AB219:AC219"/>
    <mergeCell ref="A220:K220"/>
    <mergeCell ref="L220:N220"/>
    <mergeCell ref="O220:Q220"/>
    <mergeCell ref="R220:S220"/>
    <mergeCell ref="T220:V220"/>
    <mergeCell ref="W220:AA220"/>
    <mergeCell ref="AB220:AC220"/>
    <mergeCell ref="A219:K219"/>
    <mergeCell ref="L219:N219"/>
    <mergeCell ref="O219:Q219"/>
    <mergeCell ref="R219:S219"/>
    <mergeCell ref="T219:V219"/>
    <mergeCell ref="W219:AA219"/>
    <mergeCell ref="AB217:AC217"/>
    <mergeCell ref="A218:K218"/>
    <mergeCell ref="L218:N218"/>
    <mergeCell ref="O218:Q218"/>
    <mergeCell ref="R218:S218"/>
    <mergeCell ref="T218:V218"/>
    <mergeCell ref="W218:AA218"/>
    <mergeCell ref="AB218:AC218"/>
    <mergeCell ref="A217:K217"/>
    <mergeCell ref="L217:N217"/>
    <mergeCell ref="O217:Q217"/>
    <mergeCell ref="R217:S217"/>
    <mergeCell ref="T217:V217"/>
    <mergeCell ref="W217:AA217"/>
    <mergeCell ref="AB215:AC215"/>
    <mergeCell ref="A216:K216"/>
    <mergeCell ref="L216:N216"/>
    <mergeCell ref="O216:Q216"/>
    <mergeCell ref="R216:S216"/>
    <mergeCell ref="T216:V216"/>
    <mergeCell ref="W216:AA216"/>
    <mergeCell ref="AB216:AC216"/>
    <mergeCell ref="A215:K215"/>
    <mergeCell ref="L215:N215"/>
    <mergeCell ref="O215:Q215"/>
    <mergeCell ref="R215:S215"/>
    <mergeCell ref="T215:V215"/>
    <mergeCell ref="W215:AA215"/>
    <mergeCell ref="AB213:AC213"/>
    <mergeCell ref="A214:K214"/>
    <mergeCell ref="L214:N214"/>
    <mergeCell ref="O214:Q214"/>
    <mergeCell ref="R214:S214"/>
    <mergeCell ref="T214:V214"/>
    <mergeCell ref="W214:AA214"/>
    <mergeCell ref="AB214:AC214"/>
    <mergeCell ref="A213:K213"/>
    <mergeCell ref="L213:N213"/>
    <mergeCell ref="O213:Q213"/>
    <mergeCell ref="R213:S213"/>
    <mergeCell ref="T213:V213"/>
    <mergeCell ref="W213:AA213"/>
    <mergeCell ref="AB211:AC211"/>
    <mergeCell ref="A212:K212"/>
    <mergeCell ref="L212:N212"/>
    <mergeCell ref="O212:Q212"/>
    <mergeCell ref="R212:S212"/>
    <mergeCell ref="T212:V212"/>
    <mergeCell ref="W212:AA212"/>
    <mergeCell ref="AB212:AC212"/>
    <mergeCell ref="A211:K211"/>
    <mergeCell ref="L211:N211"/>
    <mergeCell ref="O211:Q211"/>
    <mergeCell ref="R211:S211"/>
    <mergeCell ref="T211:V211"/>
    <mergeCell ref="W211:AA211"/>
    <mergeCell ref="AB209:AC209"/>
    <mergeCell ref="A210:K210"/>
    <mergeCell ref="L210:N210"/>
    <mergeCell ref="O210:Q210"/>
    <mergeCell ref="R210:S210"/>
    <mergeCell ref="T210:V210"/>
    <mergeCell ref="W210:AA210"/>
    <mergeCell ref="AB210:AC210"/>
    <mergeCell ref="A209:K209"/>
    <mergeCell ref="L209:N209"/>
    <mergeCell ref="O209:Q209"/>
    <mergeCell ref="R209:S209"/>
    <mergeCell ref="T209:V209"/>
    <mergeCell ref="W209:AA209"/>
    <mergeCell ref="AB207:AC207"/>
    <mergeCell ref="A208:K208"/>
    <mergeCell ref="L208:N208"/>
    <mergeCell ref="O208:Q208"/>
    <mergeCell ref="R208:S208"/>
    <mergeCell ref="T208:V208"/>
    <mergeCell ref="W208:AA208"/>
    <mergeCell ref="AB208:AC208"/>
    <mergeCell ref="A207:K207"/>
    <mergeCell ref="L207:N207"/>
    <mergeCell ref="O207:Q207"/>
    <mergeCell ref="R207:S207"/>
    <mergeCell ref="T207:V207"/>
    <mergeCell ref="W207:AA207"/>
    <mergeCell ref="AB205:AC205"/>
    <mergeCell ref="A206:K206"/>
    <mergeCell ref="L206:N206"/>
    <mergeCell ref="O206:Q206"/>
    <mergeCell ref="R206:S206"/>
    <mergeCell ref="T206:V206"/>
    <mergeCell ref="W206:AA206"/>
    <mergeCell ref="AB206:AC206"/>
    <mergeCell ref="A205:K205"/>
    <mergeCell ref="L205:N205"/>
    <mergeCell ref="O205:Q205"/>
    <mergeCell ref="R205:S205"/>
    <mergeCell ref="T205:V205"/>
    <mergeCell ref="W205:AA205"/>
    <mergeCell ref="AB203:AC203"/>
    <mergeCell ref="A204:K204"/>
    <mergeCell ref="L204:N204"/>
    <mergeCell ref="O204:Q204"/>
    <mergeCell ref="R204:S204"/>
    <mergeCell ref="T204:V204"/>
    <mergeCell ref="W204:AA204"/>
    <mergeCell ref="AB204:AC204"/>
    <mergeCell ref="A203:K203"/>
    <mergeCell ref="L203:N203"/>
    <mergeCell ref="O203:Q203"/>
    <mergeCell ref="R203:S203"/>
    <mergeCell ref="T203:V203"/>
    <mergeCell ref="W203:AA203"/>
    <mergeCell ref="AB201:AC201"/>
    <mergeCell ref="A202:K202"/>
    <mergeCell ref="L202:N202"/>
    <mergeCell ref="O202:Q202"/>
    <mergeCell ref="R202:S202"/>
    <mergeCell ref="T202:V202"/>
    <mergeCell ref="W202:AA202"/>
    <mergeCell ref="AB202:AC202"/>
    <mergeCell ref="A201:K201"/>
    <mergeCell ref="L201:N201"/>
    <mergeCell ref="O201:Q201"/>
    <mergeCell ref="R201:S201"/>
    <mergeCell ref="T201:V201"/>
    <mergeCell ref="W201:AA201"/>
    <mergeCell ref="AB199:AC199"/>
    <mergeCell ref="A200:K200"/>
    <mergeCell ref="L200:N200"/>
    <mergeCell ref="O200:Q200"/>
    <mergeCell ref="R200:S200"/>
    <mergeCell ref="T200:V200"/>
    <mergeCell ref="W200:AA200"/>
    <mergeCell ref="AB200:AC200"/>
    <mergeCell ref="A199:K199"/>
    <mergeCell ref="L199:N199"/>
    <mergeCell ref="O199:Q199"/>
    <mergeCell ref="R199:S199"/>
    <mergeCell ref="T199:V199"/>
    <mergeCell ref="W199:AA199"/>
    <mergeCell ref="AB197:AC197"/>
    <mergeCell ref="A198:K198"/>
    <mergeCell ref="L198:N198"/>
    <mergeCell ref="O198:Q198"/>
    <mergeCell ref="R198:S198"/>
    <mergeCell ref="T198:V198"/>
    <mergeCell ref="W198:AA198"/>
    <mergeCell ref="AB198:AC198"/>
    <mergeCell ref="A197:K197"/>
    <mergeCell ref="L197:N197"/>
    <mergeCell ref="O197:Q197"/>
    <mergeCell ref="R197:S197"/>
    <mergeCell ref="T197:V197"/>
    <mergeCell ref="W197:AA197"/>
    <mergeCell ref="AB195:AC195"/>
    <mergeCell ref="A196:K196"/>
    <mergeCell ref="L196:N196"/>
    <mergeCell ref="O196:Q196"/>
    <mergeCell ref="R196:S196"/>
    <mergeCell ref="T196:V196"/>
    <mergeCell ref="W196:AA196"/>
    <mergeCell ref="AB196:AC196"/>
    <mergeCell ref="A195:K195"/>
    <mergeCell ref="L195:N195"/>
    <mergeCell ref="O195:Q195"/>
    <mergeCell ref="R195:S195"/>
    <mergeCell ref="T195:V195"/>
    <mergeCell ref="W195:AA195"/>
    <mergeCell ref="AB193:AC193"/>
    <mergeCell ref="A194:K194"/>
    <mergeCell ref="L194:N194"/>
    <mergeCell ref="O194:Q194"/>
    <mergeCell ref="R194:S194"/>
    <mergeCell ref="T194:V194"/>
    <mergeCell ref="W194:AA194"/>
    <mergeCell ref="AB194:AC194"/>
    <mergeCell ref="A193:K193"/>
    <mergeCell ref="L193:N193"/>
    <mergeCell ref="O193:Q193"/>
    <mergeCell ref="R193:S193"/>
    <mergeCell ref="T193:V193"/>
    <mergeCell ref="W193:AA193"/>
    <mergeCell ref="AB191:AC191"/>
    <mergeCell ref="A192:K192"/>
    <mergeCell ref="L192:N192"/>
    <mergeCell ref="O192:Q192"/>
    <mergeCell ref="R192:S192"/>
    <mergeCell ref="T192:V192"/>
    <mergeCell ref="W192:AA192"/>
    <mergeCell ref="AB192:AC192"/>
    <mergeCell ref="A191:K191"/>
    <mergeCell ref="L191:N191"/>
    <mergeCell ref="O191:Q191"/>
    <mergeCell ref="R191:S191"/>
    <mergeCell ref="T191:V191"/>
    <mergeCell ref="W191:AA191"/>
    <mergeCell ref="AB189:AC189"/>
    <mergeCell ref="A190:K190"/>
    <mergeCell ref="L190:N190"/>
    <mergeCell ref="O190:Q190"/>
    <mergeCell ref="R190:S190"/>
    <mergeCell ref="T190:V190"/>
    <mergeCell ref="W190:AA190"/>
    <mergeCell ref="AB190:AC190"/>
    <mergeCell ref="A189:K189"/>
    <mergeCell ref="L189:N189"/>
    <mergeCell ref="O189:Q189"/>
    <mergeCell ref="R189:S189"/>
    <mergeCell ref="T189:V189"/>
    <mergeCell ref="W189:AA189"/>
    <mergeCell ref="AB187:AC187"/>
    <mergeCell ref="A188:K188"/>
    <mergeCell ref="L188:N188"/>
    <mergeCell ref="O188:Q188"/>
    <mergeCell ref="R188:S188"/>
    <mergeCell ref="T188:V188"/>
    <mergeCell ref="W188:AA188"/>
    <mergeCell ref="AB188:AC188"/>
    <mergeCell ref="A187:K187"/>
    <mergeCell ref="L187:N187"/>
    <mergeCell ref="O187:Q187"/>
    <mergeCell ref="R187:S187"/>
    <mergeCell ref="T187:V187"/>
    <mergeCell ref="W187:AA187"/>
    <mergeCell ref="AB185:AC185"/>
    <mergeCell ref="A186:K186"/>
    <mergeCell ref="L186:N186"/>
    <mergeCell ref="O186:Q186"/>
    <mergeCell ref="R186:S186"/>
    <mergeCell ref="T186:V186"/>
    <mergeCell ref="W186:AA186"/>
    <mergeCell ref="AB186:AC186"/>
    <mergeCell ref="A185:K185"/>
    <mergeCell ref="L185:N185"/>
    <mergeCell ref="O185:Q185"/>
    <mergeCell ref="R185:S185"/>
    <mergeCell ref="T185:V185"/>
    <mergeCell ref="W185:AA185"/>
    <mergeCell ref="AB183:AC183"/>
    <mergeCell ref="A184:K184"/>
    <mergeCell ref="L184:N184"/>
    <mergeCell ref="O184:Q184"/>
    <mergeCell ref="R184:S184"/>
    <mergeCell ref="T184:V184"/>
    <mergeCell ref="W184:AA184"/>
    <mergeCell ref="AB184:AC184"/>
    <mergeCell ref="A183:K183"/>
    <mergeCell ref="L183:N183"/>
    <mergeCell ref="O183:Q183"/>
    <mergeCell ref="R183:S183"/>
    <mergeCell ref="T183:V183"/>
    <mergeCell ref="W183:AA183"/>
    <mergeCell ref="AB181:AC181"/>
    <mergeCell ref="A182:K182"/>
    <mergeCell ref="L182:N182"/>
    <mergeCell ref="O182:Q182"/>
    <mergeCell ref="R182:S182"/>
    <mergeCell ref="T182:V182"/>
    <mergeCell ref="W182:AA182"/>
    <mergeCell ref="AB182:AC182"/>
    <mergeCell ref="A181:K181"/>
    <mergeCell ref="L181:N181"/>
    <mergeCell ref="O181:Q181"/>
    <mergeCell ref="R181:S181"/>
    <mergeCell ref="T181:V181"/>
    <mergeCell ref="W181:AA181"/>
    <mergeCell ref="AB179:AC179"/>
    <mergeCell ref="A180:K180"/>
    <mergeCell ref="L180:N180"/>
    <mergeCell ref="O180:Q180"/>
    <mergeCell ref="R180:S180"/>
    <mergeCell ref="T180:V180"/>
    <mergeCell ref="W180:AA180"/>
    <mergeCell ref="AB180:AC180"/>
    <mergeCell ref="A179:K179"/>
    <mergeCell ref="L179:N179"/>
    <mergeCell ref="O179:Q179"/>
    <mergeCell ref="R179:S179"/>
    <mergeCell ref="T179:V179"/>
    <mergeCell ref="W179:AA179"/>
    <mergeCell ref="AB177:AC177"/>
    <mergeCell ref="A178:K178"/>
    <mergeCell ref="L178:N178"/>
    <mergeCell ref="O178:Q178"/>
    <mergeCell ref="R178:S178"/>
    <mergeCell ref="T178:V178"/>
    <mergeCell ref="W178:AA178"/>
    <mergeCell ref="AB178:AC178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23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2021-03-04T09:40:09Z</dcterms:created>
  <dcterms:modified xsi:type="dcterms:W3CDTF">2021-03-04T09:40:09Z</dcterms:modified>
  <cp:category/>
  <cp:version/>
  <cp:contentType/>
  <cp:contentStatus/>
</cp:coreProperties>
</file>