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52" windowHeight="8460" activeTab="0"/>
  </bookViews>
  <sheets>
    <sheet name="Лист1" sheetId="1" r:id="rId1"/>
  </sheets>
  <definedNames>
    <definedName name="_xlnm.Print_Titles" localSheetId="0">'Лист1'!$1:$3</definedName>
  </definedNames>
  <calcPr fullCalcOnLoad="1"/>
</workbook>
</file>

<file path=xl/sharedStrings.xml><?xml version="1.0" encoding="utf-8"?>
<sst xmlns="http://schemas.openxmlformats.org/spreadsheetml/2006/main" count="489" uniqueCount="230">
  <si>
    <t>Показатели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</si>
  <si>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</si>
  <si>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</si>
  <si>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</si>
  <si>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</si>
  <si>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</si>
  <si>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</si>
  <si>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</si>
  <si>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</si>
  <si>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 xml:space="preserve">Добыча газа естественного     </t>
  </si>
  <si>
    <t>млрд.куб.м</t>
  </si>
  <si>
    <t>Производство электроэнергии</t>
  </si>
  <si>
    <t>млрд.кВт. час.</t>
  </si>
  <si>
    <t>Вывозка древесины</t>
  </si>
  <si>
    <t>тыс.куб.м</t>
  </si>
  <si>
    <t>Производство пиломатериалов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</si>
  <si>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</si>
  <si>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</si>
  <si>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</si>
  <si>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</si>
  <si>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</si>
  <si>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</si>
  <si>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</si>
  <si>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</si>
  <si>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</si>
  <si>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</si>
  <si>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</si>
  <si>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</si>
  <si>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</si>
  <si>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</si>
  <si>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</si>
  <si>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</si>
  <si>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</si>
  <si>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</si>
  <si>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</si>
  <si>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</si>
  <si>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</si>
  <si>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</si>
  <si>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</si>
  <si>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</si>
  <si>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</si>
  <si>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</si>
  <si>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</si>
  <si>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</si>
  <si>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</si>
  <si>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</si>
  <si>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</si>
  <si>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Прибыль прибыльных предприятий</t>
  </si>
  <si>
    <t>Кредиторская задолженность</t>
  </si>
  <si>
    <t>Дебиторская задолженность</t>
  </si>
  <si>
    <t>Начисленная среднемесячная номинальная заработная плата одного работающего по крупным и средним предприятиям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</si>
  <si>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</si>
  <si>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</si>
  <si>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</si>
  <si>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</si>
  <si>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</si>
  <si>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</si>
  <si>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</si>
  <si>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</si>
  <si>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</si>
  <si>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</si>
  <si>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</si>
  <si>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</si>
  <si>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</si>
  <si>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</si>
  <si>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</si>
  <si>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хлеб и хлебобулочные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</si>
  <si>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</si>
  <si>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</si>
  <si>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</si>
  <si>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</si>
  <si>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 xml:space="preserve">Уровень безработицы (на конец периода) 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</si>
  <si>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</si>
  <si>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</si>
  <si>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</si>
  <si>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</si>
  <si>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</si>
  <si>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</si>
  <si>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</si>
  <si>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</si>
  <si>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</si>
  <si>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</si>
  <si>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Товарооборот на 1 жителя</t>
  </si>
  <si>
    <t>Объем реализации платных услуг на 1 жителя</t>
  </si>
  <si>
    <t>единицы измерения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</si>
  <si>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</si>
  <si>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</si>
  <si>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</si>
  <si>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</si>
  <si>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</si>
  <si>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</si>
  <si>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>х</t>
  </si>
  <si>
    <t xml:space="preserve"> 2010 год</t>
  </si>
  <si>
    <t xml:space="preserve"> 2011 год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</si>
  <si>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</si>
  <si>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</si>
  <si>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</si>
  <si>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</si>
  <si>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</si>
  <si>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</si>
  <si>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</si>
  <si>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</si>
  <si>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</si>
  <si>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</si>
  <si>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</si>
  <si>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</si>
  <si>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</si>
  <si>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</si>
  <si>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</si>
  <si>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</si>
  <si>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</si>
  <si>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</si>
  <si>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</si>
  <si>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</si>
  <si>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</si>
  <si>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</si>
  <si>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</si>
  <si>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</si>
  <si>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</si>
  <si>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</si>
  <si>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</si>
  <si>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</si>
  <si>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</si>
  <si>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</si>
  <si>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</si>
  <si>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</si>
  <si>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</si>
  <si>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</si>
  <si>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</si>
  <si>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</si>
  <si>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</si>
  <si>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</si>
  <si>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</si>
  <si>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</si>
  <si>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</si>
  <si>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</si>
  <si>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</si>
  <si>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</si>
  <si>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</si>
  <si>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</si>
  <si>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</si>
  <si>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8.</t>
  </si>
  <si>
    <t>9.</t>
  </si>
  <si>
    <t>9.1</t>
  </si>
  <si>
    <t>9.2</t>
  </si>
  <si>
    <t>9.3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</si>
  <si>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</si>
  <si>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</si>
  <si>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</si>
  <si>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</si>
  <si>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</si>
  <si>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</si>
  <si>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</si>
  <si>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</si>
  <si>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</si>
  <si>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</si>
  <si>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</si>
  <si>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</si>
  <si>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</si>
  <si>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</si>
  <si>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</si>
  <si>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</si>
  <si>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</si>
  <si>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</si>
  <si>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</si>
  <si>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</si>
  <si>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</si>
  <si>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</si>
  <si>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</si>
  <si>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</si>
  <si>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</si>
  <si>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</si>
  <si>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</si>
  <si>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</si>
  <si>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</si>
  <si>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</si>
  <si>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</si>
  <si>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</si>
  <si>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</si>
  <si>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</si>
  <si>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</si>
  <si>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</si>
  <si>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</si>
  <si>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</si>
  <si>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</si>
  <si>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</si>
  <si>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</si>
  <si>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</si>
  <si>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</si>
  <si>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 xml:space="preserve">  январь-июнь    2009 года</t>
  </si>
  <si>
    <t>дефлятор</t>
  </si>
  <si>
    <t xml:space="preserve">  январь-июнь    201 года</t>
  </si>
  <si>
    <t>6.1.</t>
  </si>
  <si>
    <t>7.1.</t>
  </si>
  <si>
    <t>8.1.</t>
  </si>
  <si>
    <t>8.2.</t>
  </si>
  <si>
    <t>8.3.</t>
  </si>
  <si>
    <t>8.4.</t>
  </si>
  <si>
    <t>8.5.</t>
  </si>
  <si>
    <t>8.6.</t>
  </si>
  <si>
    <t>10</t>
  </si>
  <si>
    <t>10.4</t>
  </si>
  <si>
    <t>12.7</t>
  </si>
  <si>
    <t>12.8</t>
  </si>
  <si>
    <t>тел. 8 (34677) 39-152</t>
  </si>
  <si>
    <t>Динамика основных показателей социально - экономического</t>
  </si>
  <si>
    <r>
      <t xml:space="preserve">Темп роста 
января-июня    2009 года 
к январю- июню    2008 года, % </t>
    </r>
    <r>
      <rPr>
        <vertAlign val="superscript"/>
        <sz val="10"/>
        <rFont val="Times New Roman Cyr"/>
        <family val="1"/>
      </rPr>
      <t>1</t>
    </r>
  </si>
  <si>
    <r>
      <t xml:space="preserve">Темп роста 
 января-июня    2010  года     к январю-июню    2009 году, % </t>
    </r>
    <r>
      <rPr>
        <vertAlign val="superscript"/>
        <sz val="10"/>
        <rFont val="Times New Roman Cyr"/>
        <family val="0"/>
      </rPr>
      <t>1</t>
    </r>
  </si>
  <si>
    <r>
      <t>Темп роста 2010 года к 2009 году, %</t>
    </r>
    <r>
      <rPr>
        <vertAlign val="superscript"/>
        <sz val="10"/>
        <rFont val="Times New Roman Cyr"/>
        <family val="1"/>
      </rPr>
      <t>1</t>
    </r>
  </si>
  <si>
    <r>
      <t xml:space="preserve">Темп роста 
 января-июня    2011 года к январю-июню    2010  года, % </t>
    </r>
    <r>
      <rPr>
        <vertAlign val="superscript"/>
        <sz val="10"/>
        <rFont val="Times New Roman Cyr"/>
        <family val="0"/>
      </rPr>
      <t>1</t>
    </r>
  </si>
  <si>
    <r>
      <t>Темп роста 2011 года к 2010 году, %</t>
    </r>
    <r>
      <rPr>
        <vertAlign val="superscript"/>
        <sz val="10"/>
        <rFont val="Times New Roman Cyr"/>
        <family val="1"/>
      </rPr>
      <t xml:space="preserve"> 1</t>
    </r>
  </si>
  <si>
    <r>
      <t>Темп роста 2012 года к 2011 году, %</t>
    </r>
    <r>
      <rPr>
        <vertAlign val="superscript"/>
        <sz val="10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</si>
  <si>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0"/>
        <rFont val="Times New Roman"/>
        <family val="1"/>
      </rPr>
      <t>2</t>
    </r>
  </si>
  <si>
    <r>
      <t>Естествен</t>
    </r>
    <r>
      <rPr>
        <sz val="10"/>
        <rFont val="Times New Roman Cyr"/>
        <family val="0"/>
      </rPr>
      <t>ный прирост (убыль)</t>
    </r>
    <r>
      <rPr>
        <sz val="10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</si>
  <si>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0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</si>
  <si>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0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</si>
  <si>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0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</si>
  <si>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0"/>
        <rFont val="Times New Roman Cyr"/>
        <family val="0"/>
      </rPr>
      <t>3</t>
    </r>
  </si>
  <si>
    <t>развития МО городское поселение Куминский за 2014 года</t>
  </si>
  <si>
    <t xml:space="preserve">   2013 года</t>
  </si>
  <si>
    <t xml:space="preserve">  2014 года</t>
  </si>
  <si>
    <r>
      <t xml:space="preserve">Темп роста 2014 2013 года, % </t>
    </r>
    <r>
      <rPr>
        <vertAlign val="superscript"/>
        <sz val="10"/>
        <rFont val="Times New Roman Cyr"/>
        <family val="0"/>
      </rPr>
      <t>1</t>
    </r>
  </si>
  <si>
    <t>Примечание по расчету 2014 г.</t>
  </si>
  <si>
    <t>тыс.руб.</t>
  </si>
  <si>
    <t>тыс. рублей</t>
  </si>
  <si>
    <t>0,8/%</t>
  </si>
  <si>
    <t xml:space="preserve">Исполнитель : Осипенко Екатерина Александровна      </t>
  </si>
  <si>
    <t>27</t>
  </si>
  <si>
    <t>23</t>
  </si>
  <si>
    <t>Организация сведения не предоставляет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</si>
</sst>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%"/>
  </numFmts>
  <fonts count="51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vertAlign val="superscript"/>
      <sz val="10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 Cyr"/>
      <family val="1"/>
    </font>
    <font>
      <b/>
      <sz val="10"/>
      <name val="Times New Roman Cyr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4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/>
    </xf>
    <xf numFmtId="17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4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left" vertical="center" wrapText="1" inden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74" fontId="1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 wrapText="1"/>
    </xf>
    <xf numFmtId="9" fontId="1" fillId="32" borderId="10" xfId="0" applyNumberFormat="1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176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tabSelected="1" zoomScale="88" zoomScaleNormal="88" zoomScaleSheetLayoutView="100" workbookViewId="0" topLeftCell="A1">
      <pane ySplit="3" topLeftCell="A25" activePane="bottomLeft" state="frozen"/>
      <selection pane="topLeft" activeCell="A1" sqref="A1"/>
      <selection pane="bottomLeft" activeCell="S32" sqref="S32"/>
    </sheetView>
  </sheetViews>
  <sheetFormatPr defaultColWidth="9.125" defaultRowHeight="12.75"/>
  <cols>
    <col min="1" max="1" width="9.125" style="1" customWidth="1"/>
    <col min="2" max="2" width="54.625" style="1" customWidth="1"/>
    <col min="3" max="3" width="15.375" style="1" customWidth="1"/>
    <col min="4" max="4" width="9.875" style="1" hidden="1" customWidth="1"/>
    <col min="5" max="5" width="11.375" style="1" hidden="1" customWidth="1"/>
    <col min="6" max="6" width="12.50390625" style="1" hidden="1" customWidth="1"/>
    <col min="7" max="7" width="14.375" style="1" hidden="1" customWidth="1"/>
    <col min="8" max="8" width="12.00390625" style="1" hidden="1" customWidth="1"/>
    <col min="9" max="9" width="12.875" style="1" hidden="1" customWidth="1"/>
    <col min="10" max="10" width="12.625" style="1" customWidth="1"/>
    <col min="11" max="11" width="14.125" style="1" hidden="1" customWidth="1"/>
    <col min="12" max="12" width="12.50390625" style="1" hidden="1" customWidth="1"/>
    <col min="13" max="13" width="13.375" style="1" hidden="1" customWidth="1"/>
    <col min="14" max="14" width="13.375" style="1" customWidth="1"/>
    <col min="15" max="15" width="14.00390625" style="1" customWidth="1"/>
    <col min="16" max="16" width="12.125" style="1" customWidth="1"/>
    <col min="17" max="17" width="13.375" style="1" hidden="1" customWidth="1"/>
    <col min="18" max="16384" width="9.125" style="1" customWidth="1"/>
  </cols>
  <sheetData>
    <row r="1" spans="1:19" s="3" customFormat="1" ht="15">
      <c r="A1" s="1"/>
      <c r="B1" s="62" t="s">
        <v>205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"/>
      <c r="Q1" s="1"/>
      <c r="R1" s="1"/>
      <c r="S1" s="1"/>
    </row>
    <row r="2" spans="1:19" s="3" customFormat="1" ht="15">
      <c r="A2" s="7"/>
      <c r="B2" s="64" t="s">
        <v>218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7"/>
      <c r="Q2" s="1"/>
      <c r="R2" s="1"/>
      <c r="S2" s="1"/>
    </row>
    <row r="3" spans="1:17" s="9" customFormat="1" ht="126.75" customHeight="1">
      <c r="A3" s="8" t="s">
        <v>109</v>
      </c>
      <c r="B3" s="25" t="s">
        <v>0</v>
      </c>
      <c r="C3" s="25" t="s">
        <v>84</v>
      </c>
      <c r="D3" s="10" t="s">
        <v>189</v>
      </c>
      <c r="E3" s="10" t="s">
        <v>206</v>
      </c>
      <c r="F3" s="10" t="s">
        <v>191</v>
      </c>
      <c r="G3" s="10" t="s">
        <v>207</v>
      </c>
      <c r="H3" s="10" t="s">
        <v>92</v>
      </c>
      <c r="I3" s="10" t="s">
        <v>208</v>
      </c>
      <c r="J3" s="10" t="s">
        <v>219</v>
      </c>
      <c r="K3" s="10" t="s">
        <v>209</v>
      </c>
      <c r="L3" s="10" t="s">
        <v>93</v>
      </c>
      <c r="M3" s="10" t="s">
        <v>210</v>
      </c>
      <c r="N3" s="10" t="s">
        <v>220</v>
      </c>
      <c r="O3" s="10" t="s">
        <v>221</v>
      </c>
      <c r="P3" s="10" t="s">
        <v>222</v>
      </c>
      <c r="Q3" s="10" t="s">
        <v>211</v>
      </c>
    </row>
    <row r="4" spans="1:17" s="9" customFormat="1" ht="20.25" customHeight="1">
      <c r="A4" s="26" t="s">
        <v>110</v>
      </c>
      <c r="B4" s="66" t="s">
        <v>74</v>
      </c>
      <c r="C4" s="6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</row>
    <row r="5" spans="1:18" s="9" customFormat="1" ht="21.75" customHeight="1">
      <c r="A5" s="24" t="s">
        <v>112</v>
      </c>
      <c r="B5" s="27" t="s">
        <v>212</v>
      </c>
      <c r="C5" s="28" t="s">
        <v>85</v>
      </c>
      <c r="D5" s="10">
        <v>34.8</v>
      </c>
      <c r="E5" s="12">
        <f>D5/35.3*100</f>
        <v>98.58356940509914</v>
      </c>
      <c r="F5" s="10">
        <v>34.7</v>
      </c>
      <c r="G5" s="12">
        <f>F5/D5*100</f>
        <v>99.71264367816094</v>
      </c>
      <c r="H5" s="10">
        <v>34.6</v>
      </c>
      <c r="I5" s="12">
        <f>34.8/H5*100</f>
        <v>100.57803468208091</v>
      </c>
      <c r="J5" s="10">
        <v>2889</v>
      </c>
      <c r="K5" s="12"/>
      <c r="L5" s="10"/>
      <c r="M5" s="12"/>
      <c r="N5" s="10">
        <v>2880</v>
      </c>
      <c r="O5" s="46">
        <v>0.997</v>
      </c>
      <c r="P5" s="57"/>
      <c r="Q5" s="13" t="e">
        <f>P5/L5*100</f>
        <v>#DIV/0!</v>
      </c>
      <c r="R5" s="58"/>
    </row>
    <row r="6" spans="1:17" s="9" customFormat="1" ht="18.75" customHeight="1">
      <c r="A6" s="24" t="s">
        <v>113</v>
      </c>
      <c r="B6" s="29" t="s">
        <v>213</v>
      </c>
      <c r="C6" s="28" t="s">
        <v>85</v>
      </c>
      <c r="D6" s="10">
        <v>0.009</v>
      </c>
      <c r="E6" s="12">
        <f>D6/(-0.012)*100</f>
        <v>-74.99999999999999</v>
      </c>
      <c r="F6" s="10">
        <v>-0.006</v>
      </c>
      <c r="G6" s="12">
        <f>F6/D6*100</f>
        <v>-66.66666666666667</v>
      </c>
      <c r="H6" s="10">
        <v>0.069</v>
      </c>
      <c r="I6" s="12">
        <f>0.076/H6*100</f>
        <v>110.14492753623186</v>
      </c>
      <c r="J6" s="10">
        <v>7</v>
      </c>
      <c r="K6" s="12"/>
      <c r="L6" s="10"/>
      <c r="M6" s="12"/>
      <c r="N6" s="10">
        <v>-15</v>
      </c>
      <c r="O6" s="12" t="s">
        <v>91</v>
      </c>
      <c r="P6" s="23" t="s">
        <v>91</v>
      </c>
      <c r="Q6" s="13" t="e">
        <f>P6/L6*100</f>
        <v>#VALUE!</v>
      </c>
    </row>
    <row r="7" spans="1:17" s="9" customFormat="1" ht="20.25" customHeight="1">
      <c r="A7" s="24" t="s">
        <v>114</v>
      </c>
      <c r="B7" s="29" t="s">
        <v>70</v>
      </c>
      <c r="C7" s="28" t="s">
        <v>85</v>
      </c>
      <c r="D7" s="10">
        <v>0.018</v>
      </c>
      <c r="E7" s="12">
        <f>D7/0.063*100</f>
        <v>28.57142857142857</v>
      </c>
      <c r="F7" s="10">
        <v>0.029</v>
      </c>
      <c r="G7" s="12">
        <f>F7/D7*100</f>
        <v>161.11111111111114</v>
      </c>
      <c r="H7" s="10">
        <v>-0.468</v>
      </c>
      <c r="I7" s="12">
        <f>-0.232/H7*100</f>
        <v>49.572649572649574</v>
      </c>
      <c r="J7" s="10">
        <v>-17</v>
      </c>
      <c r="K7" s="12"/>
      <c r="L7" s="10"/>
      <c r="M7" s="12"/>
      <c r="N7" s="10" t="s">
        <v>91</v>
      </c>
      <c r="O7" s="12" t="s">
        <v>91</v>
      </c>
      <c r="P7" s="23" t="s">
        <v>91</v>
      </c>
      <c r="Q7" s="13" t="e">
        <f>P7/L7*100</f>
        <v>#VALUE!</v>
      </c>
    </row>
    <row r="8" spans="1:17" s="9" customFormat="1" ht="20.25" customHeight="1">
      <c r="A8" s="26" t="s">
        <v>111</v>
      </c>
      <c r="B8" s="61" t="s">
        <v>75</v>
      </c>
      <c r="C8" s="6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3"/>
      <c r="Q8" s="11"/>
    </row>
    <row r="9" spans="1:17" s="9" customFormat="1" ht="48.75" customHeight="1">
      <c r="A9" s="24" t="s">
        <v>115</v>
      </c>
      <c r="B9" s="27" t="s">
        <v>59</v>
      </c>
      <c r="C9" s="30" t="s">
        <v>85</v>
      </c>
      <c r="D9" s="10">
        <v>11.9</v>
      </c>
      <c r="E9" s="10">
        <f>11.9/D9*100</f>
        <v>100</v>
      </c>
      <c r="F9" s="10">
        <v>11.5</v>
      </c>
      <c r="G9" s="12">
        <f>F9/D9*100</f>
        <v>96.63865546218487</v>
      </c>
      <c r="H9" s="10">
        <v>10.7</v>
      </c>
      <c r="I9" s="12">
        <f>11.6/H9*100</f>
        <v>108.41121495327104</v>
      </c>
      <c r="J9" s="51">
        <v>310</v>
      </c>
      <c r="K9" s="52"/>
      <c r="L9" s="51"/>
      <c r="M9" s="52"/>
      <c r="N9" s="51">
        <v>300</v>
      </c>
      <c r="O9" s="53">
        <v>0.968</v>
      </c>
      <c r="P9" s="56"/>
      <c r="Q9" s="13" t="e">
        <f>P9/L9*100</f>
        <v>#DIV/0!</v>
      </c>
    </row>
    <row r="10" spans="1:17" s="9" customFormat="1" ht="53.25" customHeight="1">
      <c r="A10" s="24" t="s">
        <v>116</v>
      </c>
      <c r="B10" s="27" t="s">
        <v>60</v>
      </c>
      <c r="C10" s="30" t="s">
        <v>85</v>
      </c>
      <c r="D10" s="10">
        <v>10</v>
      </c>
      <c r="E10" s="12">
        <f>D10/10.2*100</f>
        <v>98.03921568627452</v>
      </c>
      <c r="F10" s="10">
        <v>9.6</v>
      </c>
      <c r="G10" s="12">
        <f>F10/D10*100</f>
        <v>96</v>
      </c>
      <c r="H10" s="10">
        <v>9.3</v>
      </c>
      <c r="I10" s="12">
        <f>9.7/9.3*100</f>
        <v>104.30107526881717</v>
      </c>
      <c r="J10" s="52">
        <v>300</v>
      </c>
      <c r="K10" s="52"/>
      <c r="L10" s="51"/>
      <c r="M10" s="52"/>
      <c r="N10" s="51">
        <v>290</v>
      </c>
      <c r="O10" s="53">
        <v>0.967</v>
      </c>
      <c r="P10" s="56"/>
      <c r="Q10" s="13" t="e">
        <f>P10/L10*100</f>
        <v>#DIV/0!</v>
      </c>
    </row>
    <row r="11" spans="1:20" s="9" customFormat="1" ht="54.75" customHeight="1">
      <c r="A11" s="24" t="s">
        <v>117</v>
      </c>
      <c r="B11" s="27" t="s">
        <v>95</v>
      </c>
      <c r="C11" s="30" t="s">
        <v>85</v>
      </c>
      <c r="D11" s="10">
        <v>2.96</v>
      </c>
      <c r="E11" s="12">
        <f>D11/2.22*100</f>
        <v>133.33333333333331</v>
      </c>
      <c r="F11" s="10">
        <v>1.47</v>
      </c>
      <c r="G11" s="12">
        <f>F11/D11*100</f>
        <v>49.66216216216216</v>
      </c>
      <c r="H11" s="10">
        <v>3.1</v>
      </c>
      <c r="I11" s="12">
        <f>3.5/3.1*100</f>
        <v>112.9032258064516</v>
      </c>
      <c r="J11" s="51">
        <v>51</v>
      </c>
      <c r="K11" s="52"/>
      <c r="L11" s="51"/>
      <c r="M11" s="52"/>
      <c r="N11" s="72" t="s">
        <v>227</v>
      </c>
      <c r="O11" s="73">
        <v>0.529</v>
      </c>
      <c r="P11" s="74"/>
      <c r="Q11" s="75" t="e">
        <f>P11/L11*100</f>
        <v>#DIV/0!</v>
      </c>
      <c r="R11" s="76"/>
      <c r="S11" s="76"/>
      <c r="T11" s="76"/>
    </row>
    <row r="12" spans="1:20" s="9" customFormat="1" ht="12.75">
      <c r="A12" s="24" t="s">
        <v>118</v>
      </c>
      <c r="B12" s="27" t="s">
        <v>94</v>
      </c>
      <c r="C12" s="30" t="s">
        <v>85</v>
      </c>
      <c r="D12" s="10">
        <v>1.63</v>
      </c>
      <c r="E12" s="12">
        <f>D12/1.09*100</f>
        <v>149.5412844036697</v>
      </c>
      <c r="F12" s="10">
        <v>0.6</v>
      </c>
      <c r="G12" s="12">
        <f>F12/D12*100</f>
        <v>36.809815950920246</v>
      </c>
      <c r="H12" s="10">
        <v>0.5</v>
      </c>
      <c r="I12" s="10">
        <f>0.9/0.5*100</f>
        <v>180</v>
      </c>
      <c r="J12" s="10">
        <v>49</v>
      </c>
      <c r="K12" s="12"/>
      <c r="L12" s="10"/>
      <c r="M12" s="12"/>
      <c r="N12" s="77" t="s">
        <v>228</v>
      </c>
      <c r="O12" s="78">
        <v>0.469</v>
      </c>
      <c r="P12" s="74"/>
      <c r="Q12" s="75" t="e">
        <f>P12/L12*100</f>
        <v>#DIV/0!</v>
      </c>
      <c r="R12" s="76"/>
      <c r="S12" s="76"/>
      <c r="T12" s="76"/>
    </row>
    <row r="13" spans="1:20" s="9" customFormat="1" ht="14.25" customHeight="1">
      <c r="A13" s="24" t="s">
        <v>119</v>
      </c>
      <c r="B13" s="27" t="s">
        <v>71</v>
      </c>
      <c r="C13" s="30" t="s">
        <v>6</v>
      </c>
      <c r="D13" s="10">
        <v>7.8</v>
      </c>
      <c r="E13" s="10" t="s">
        <v>91</v>
      </c>
      <c r="F13" s="10">
        <v>2.9</v>
      </c>
      <c r="G13" s="10" t="s">
        <v>91</v>
      </c>
      <c r="H13" s="10">
        <v>2.3</v>
      </c>
      <c r="I13" s="12">
        <f>4.1/2.3*100</f>
        <v>178.26086956521738</v>
      </c>
      <c r="J13" s="10">
        <v>1.1</v>
      </c>
      <c r="K13" s="10"/>
      <c r="L13" s="10"/>
      <c r="M13" s="12"/>
      <c r="N13" s="79">
        <v>1.72</v>
      </c>
      <c r="O13" s="79" t="s">
        <v>91</v>
      </c>
      <c r="P13" s="80" t="s">
        <v>91</v>
      </c>
      <c r="Q13" s="75" t="e">
        <f>P13/L13*100</f>
        <v>#VALUE!</v>
      </c>
      <c r="R13" s="76"/>
      <c r="S13" s="76"/>
      <c r="T13" s="76"/>
    </row>
    <row r="14" spans="1:17" s="9" customFormat="1" ht="50.25" customHeight="1">
      <c r="A14" s="26" t="s">
        <v>120</v>
      </c>
      <c r="B14" s="61" t="s">
        <v>77</v>
      </c>
      <c r="C14" s="6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1"/>
    </row>
    <row r="15" spans="1:17" s="9" customFormat="1" ht="21" customHeight="1">
      <c r="A15" s="24"/>
      <c r="B15" s="29" t="s">
        <v>1</v>
      </c>
      <c r="C15" s="28" t="s">
        <v>224</v>
      </c>
      <c r="D15" s="10">
        <v>4283.6</v>
      </c>
      <c r="E15" s="10" t="s">
        <v>91</v>
      </c>
      <c r="F15" s="10">
        <v>5084.1</v>
      </c>
      <c r="G15" s="10" t="s">
        <v>91</v>
      </c>
      <c r="H15" s="10">
        <v>11201.6</v>
      </c>
      <c r="I15" s="12">
        <f>H15/8142.6*100</f>
        <v>137.5678530199199</v>
      </c>
      <c r="J15" s="10" t="s">
        <v>91</v>
      </c>
      <c r="K15" s="10"/>
      <c r="L15" s="10"/>
      <c r="M15" s="12"/>
      <c r="N15" s="10" t="s">
        <v>91</v>
      </c>
      <c r="O15" s="12" t="s">
        <v>91</v>
      </c>
      <c r="P15" s="12" t="s">
        <v>91</v>
      </c>
      <c r="Q15" s="13" t="e">
        <f>P15/L15*100</f>
        <v>#VALUE!</v>
      </c>
    </row>
    <row r="16" spans="1:17" s="9" customFormat="1" ht="49.5" customHeight="1">
      <c r="A16" s="24" t="s">
        <v>121</v>
      </c>
      <c r="B16" s="29" t="s">
        <v>62</v>
      </c>
      <c r="C16" s="28" t="s">
        <v>63</v>
      </c>
      <c r="D16" s="12">
        <f>D15/6242.5/D17*100*100</f>
        <v>60.58264620310708</v>
      </c>
      <c r="E16" s="10"/>
      <c r="F16" s="12">
        <f>F15/D15/F17*100*100</f>
        <v>94.77313217400541</v>
      </c>
      <c r="G16" s="10" t="s">
        <v>91</v>
      </c>
      <c r="H16" s="12">
        <f>H15/8142.6/H17*100*100</f>
        <v>109.8492305189672</v>
      </c>
      <c r="I16" s="12">
        <f>F16/D16*100</f>
        <v>156.43610524418594</v>
      </c>
      <c r="J16" s="12" t="s">
        <v>91</v>
      </c>
      <c r="K16" s="10"/>
      <c r="L16" s="12"/>
      <c r="M16" s="12"/>
      <c r="N16" s="12" t="s">
        <v>91</v>
      </c>
      <c r="O16" s="12" t="s">
        <v>91</v>
      </c>
      <c r="P16" s="12" t="s">
        <v>91</v>
      </c>
      <c r="Q16" s="13" t="e">
        <f aca="true" t="shared" si="0" ref="Q16:Q26">P16/L16*100</f>
        <v>#VALUE!</v>
      </c>
    </row>
    <row r="17" spans="1:17" s="17" customFormat="1" ht="21" customHeight="1" hidden="1">
      <c r="A17" s="31"/>
      <c r="B17" s="32" t="s">
        <v>190</v>
      </c>
      <c r="C17" s="33"/>
      <c r="D17" s="14">
        <f>(D20+D23+D26)/3</f>
        <v>113.26666666666665</v>
      </c>
      <c r="E17" s="15"/>
      <c r="F17" s="14">
        <f>(F20+F23+F26)/3</f>
        <v>125.23333333333333</v>
      </c>
      <c r="G17" s="15"/>
      <c r="H17" s="14">
        <f>(H20+H23+H26)/3</f>
        <v>125.23333333333333</v>
      </c>
      <c r="I17" s="12">
        <f aca="true" t="shared" si="1" ref="I17:I26">F17/D17*100</f>
        <v>110.56503825779873</v>
      </c>
      <c r="J17" s="15"/>
      <c r="K17" s="15"/>
      <c r="L17" s="15"/>
      <c r="M17" s="12"/>
      <c r="N17" s="14"/>
      <c r="O17" s="15"/>
      <c r="P17" s="16"/>
      <c r="Q17" s="13" t="e">
        <f t="shared" si="0"/>
        <v>#DIV/0!</v>
      </c>
    </row>
    <row r="18" spans="1:17" s="9" customFormat="1" ht="12.75">
      <c r="A18" s="24" t="s">
        <v>122</v>
      </c>
      <c r="B18" s="29" t="s">
        <v>3</v>
      </c>
      <c r="C18" s="28"/>
      <c r="D18" s="10">
        <v>3637.4</v>
      </c>
      <c r="E18" s="10" t="s">
        <v>91</v>
      </c>
      <c r="F18" s="10">
        <v>4420</v>
      </c>
      <c r="G18" s="10" t="s">
        <v>91</v>
      </c>
      <c r="H18" s="10">
        <v>9483.6</v>
      </c>
      <c r="I18" s="12">
        <f t="shared" si="1"/>
        <v>121.51536812008577</v>
      </c>
      <c r="J18" s="10" t="s">
        <v>91</v>
      </c>
      <c r="K18" s="10"/>
      <c r="L18" s="10"/>
      <c r="M18" s="12"/>
      <c r="N18" s="12" t="s">
        <v>91</v>
      </c>
      <c r="O18" s="12" t="s">
        <v>91</v>
      </c>
      <c r="P18" s="12" t="s">
        <v>91</v>
      </c>
      <c r="Q18" s="13" t="e">
        <f t="shared" si="0"/>
        <v>#VALUE!</v>
      </c>
    </row>
    <row r="19" spans="1:17" s="9" customFormat="1" ht="39">
      <c r="A19" s="24" t="s">
        <v>123</v>
      </c>
      <c r="B19" s="29" t="s">
        <v>64</v>
      </c>
      <c r="C19" s="28" t="s">
        <v>63</v>
      </c>
      <c r="D19" s="12">
        <f>D18/5470.5/D20*100*100</f>
        <v>58.789725875568756</v>
      </c>
      <c r="E19" s="10" t="s">
        <v>91</v>
      </c>
      <c r="F19" s="12">
        <f>F18/D18/F20*100*100</f>
        <v>102.11375472276114</v>
      </c>
      <c r="G19" s="10" t="s">
        <v>91</v>
      </c>
      <c r="H19" s="12">
        <f>H18/7289.7/H20*100*100</f>
        <v>109.32427623504235</v>
      </c>
      <c r="I19" s="12">
        <f t="shared" si="1"/>
        <v>173.69319758164846</v>
      </c>
      <c r="J19" s="12" t="s">
        <v>91</v>
      </c>
      <c r="K19" s="10"/>
      <c r="L19" s="12"/>
      <c r="M19" s="12"/>
      <c r="N19" s="12" t="s">
        <v>91</v>
      </c>
      <c r="O19" s="12" t="s">
        <v>91</v>
      </c>
      <c r="P19" s="12" t="s">
        <v>91</v>
      </c>
      <c r="Q19" s="13" t="e">
        <f t="shared" si="0"/>
        <v>#VALUE!</v>
      </c>
    </row>
    <row r="20" spans="1:17" s="17" customFormat="1" ht="12.75" hidden="1">
      <c r="A20" s="31"/>
      <c r="B20" s="32" t="s">
        <v>190</v>
      </c>
      <c r="C20" s="33"/>
      <c r="D20" s="15">
        <v>113.1</v>
      </c>
      <c r="E20" s="15"/>
      <c r="F20" s="15">
        <v>119</v>
      </c>
      <c r="G20" s="15"/>
      <c r="H20" s="15">
        <v>119</v>
      </c>
      <c r="I20" s="12">
        <f t="shared" si="1"/>
        <v>105.21662245800177</v>
      </c>
      <c r="J20" s="15"/>
      <c r="K20" s="15"/>
      <c r="L20" s="15"/>
      <c r="M20" s="12"/>
      <c r="N20" s="12" t="s">
        <v>91</v>
      </c>
      <c r="O20" s="12" t="s">
        <v>91</v>
      </c>
      <c r="P20" s="12" t="s">
        <v>91</v>
      </c>
      <c r="Q20" s="13" t="e">
        <f t="shared" si="0"/>
        <v>#VALUE!</v>
      </c>
    </row>
    <row r="21" spans="1:17" s="9" customFormat="1" ht="12.75">
      <c r="A21" s="24" t="s">
        <v>124</v>
      </c>
      <c r="B21" s="29" t="s">
        <v>4</v>
      </c>
      <c r="C21" s="28" t="s">
        <v>224</v>
      </c>
      <c r="D21" s="10">
        <v>208.3</v>
      </c>
      <c r="E21" s="10" t="s">
        <v>91</v>
      </c>
      <c r="F21" s="10">
        <v>149.1</v>
      </c>
      <c r="G21" s="10" t="s">
        <v>91</v>
      </c>
      <c r="H21" s="10">
        <v>561.5</v>
      </c>
      <c r="I21" s="12">
        <f t="shared" si="1"/>
        <v>71.57945271243398</v>
      </c>
      <c r="J21" s="10" t="s">
        <v>91</v>
      </c>
      <c r="K21" s="10"/>
      <c r="L21" s="10"/>
      <c r="M21" s="12"/>
      <c r="N21" s="12" t="s">
        <v>91</v>
      </c>
      <c r="O21" s="12" t="s">
        <v>91</v>
      </c>
      <c r="P21" s="12" t="s">
        <v>91</v>
      </c>
      <c r="Q21" s="13" t="e">
        <f t="shared" si="0"/>
        <v>#VALUE!</v>
      </c>
    </row>
    <row r="22" spans="1:17" s="9" customFormat="1" ht="30" customHeight="1">
      <c r="A22" s="24" t="s">
        <v>125</v>
      </c>
      <c r="B22" s="29" t="s">
        <v>64</v>
      </c>
      <c r="C22" s="28" t="s">
        <v>63</v>
      </c>
      <c r="D22" s="12">
        <f>D21/381.7/D23*100*100</f>
        <v>48.594526385334774</v>
      </c>
      <c r="E22" s="10" t="s">
        <v>91</v>
      </c>
      <c r="F22" s="12">
        <f>F21/D21/F23*100*100</f>
        <v>50.40806529044646</v>
      </c>
      <c r="G22" s="10" t="s">
        <v>91</v>
      </c>
      <c r="H22" s="12">
        <f>H21/242.2/H23*100*100</f>
        <v>163.26281387748455</v>
      </c>
      <c r="I22" s="12">
        <f t="shared" si="1"/>
        <v>103.73198185065343</v>
      </c>
      <c r="J22" s="12" t="s">
        <v>91</v>
      </c>
      <c r="K22" s="10"/>
      <c r="L22" s="12"/>
      <c r="M22" s="12"/>
      <c r="N22" s="12" t="s">
        <v>91</v>
      </c>
      <c r="O22" s="12" t="s">
        <v>91</v>
      </c>
      <c r="P22" s="12" t="s">
        <v>91</v>
      </c>
      <c r="Q22" s="13" t="e">
        <f t="shared" si="0"/>
        <v>#VALUE!</v>
      </c>
    </row>
    <row r="23" spans="1:17" s="17" customFormat="1" ht="20.25" customHeight="1" hidden="1">
      <c r="A23" s="31"/>
      <c r="B23" s="32" t="s">
        <v>190</v>
      </c>
      <c r="C23" s="33"/>
      <c r="D23" s="15">
        <v>112.3</v>
      </c>
      <c r="E23" s="15"/>
      <c r="F23" s="15">
        <v>142</v>
      </c>
      <c r="G23" s="15"/>
      <c r="H23" s="15">
        <v>142</v>
      </c>
      <c r="I23" s="12">
        <f t="shared" si="1"/>
        <v>126.44701691896705</v>
      </c>
      <c r="J23" s="15"/>
      <c r="K23" s="15"/>
      <c r="L23" s="15"/>
      <c r="M23" s="12"/>
      <c r="N23" s="12" t="s">
        <v>91</v>
      </c>
      <c r="O23" s="12" t="s">
        <v>91</v>
      </c>
      <c r="P23" s="12" t="s">
        <v>91</v>
      </c>
      <c r="Q23" s="13" t="e">
        <f t="shared" si="0"/>
        <v>#VALUE!</v>
      </c>
    </row>
    <row r="24" spans="1:17" s="9" customFormat="1" ht="12.75">
      <c r="A24" s="24" t="s">
        <v>126</v>
      </c>
      <c r="B24" s="29" t="s">
        <v>5</v>
      </c>
      <c r="C24" s="28" t="s">
        <v>224</v>
      </c>
      <c r="D24" s="10">
        <v>437.9</v>
      </c>
      <c r="E24" s="10" t="s">
        <v>91</v>
      </c>
      <c r="F24" s="10">
        <v>515</v>
      </c>
      <c r="G24" s="10" t="s">
        <v>91</v>
      </c>
      <c r="H24" s="10">
        <v>1156.2</v>
      </c>
      <c r="I24" s="12">
        <f t="shared" si="1"/>
        <v>117.60675953414021</v>
      </c>
      <c r="J24" s="10" t="s">
        <v>91</v>
      </c>
      <c r="K24" s="10"/>
      <c r="L24" s="10"/>
      <c r="M24" s="12"/>
      <c r="N24" s="12" t="s">
        <v>91</v>
      </c>
      <c r="O24" s="12" t="s">
        <v>91</v>
      </c>
      <c r="P24" s="12" t="s">
        <v>91</v>
      </c>
      <c r="Q24" s="13" t="e">
        <f t="shared" si="0"/>
        <v>#VALUE!</v>
      </c>
    </row>
    <row r="25" spans="1:17" s="9" customFormat="1" ht="51.75" customHeight="1">
      <c r="A25" s="24" t="s">
        <v>127</v>
      </c>
      <c r="B25" s="29" t="s">
        <v>64</v>
      </c>
      <c r="C25" s="28" t="s">
        <v>63</v>
      </c>
      <c r="D25" s="12">
        <f>D24/390.3/D26*100*100</f>
        <v>98.07320529841667</v>
      </c>
      <c r="E25" s="10" t="s">
        <v>91</v>
      </c>
      <c r="F25" s="12">
        <f>F24/D24/F26*100*100</f>
        <v>102.53422801581536</v>
      </c>
      <c r="G25" s="10" t="s">
        <v>91</v>
      </c>
      <c r="H25" s="12">
        <f>H24/610.7/H26*100*100</f>
        <v>165.05991880628073</v>
      </c>
      <c r="I25" s="12">
        <f t="shared" si="1"/>
        <v>104.5486661762759</v>
      </c>
      <c r="J25" s="12" t="s">
        <v>91</v>
      </c>
      <c r="K25" s="10"/>
      <c r="L25" s="12"/>
      <c r="M25" s="12"/>
      <c r="N25" s="12" t="s">
        <v>91</v>
      </c>
      <c r="O25" s="12" t="s">
        <v>91</v>
      </c>
      <c r="P25" s="12" t="s">
        <v>91</v>
      </c>
      <c r="Q25" s="13" t="e">
        <f t="shared" si="0"/>
        <v>#VALUE!</v>
      </c>
    </row>
    <row r="26" spans="1:17" s="17" customFormat="1" ht="20.25" customHeight="1" hidden="1">
      <c r="A26" s="31"/>
      <c r="B26" s="32" t="s">
        <v>190</v>
      </c>
      <c r="C26" s="33"/>
      <c r="D26" s="15">
        <v>114.4</v>
      </c>
      <c r="E26" s="15"/>
      <c r="F26" s="15">
        <v>114.7</v>
      </c>
      <c r="G26" s="15"/>
      <c r="H26" s="15">
        <v>114.7</v>
      </c>
      <c r="I26" s="12">
        <f t="shared" si="1"/>
        <v>100.26223776223775</v>
      </c>
      <c r="J26" s="15"/>
      <c r="K26" s="15"/>
      <c r="L26" s="15"/>
      <c r="M26" s="12"/>
      <c r="N26" s="15"/>
      <c r="O26" s="15"/>
      <c r="P26" s="18"/>
      <c r="Q26" s="13" t="e">
        <f t="shared" si="0"/>
        <v>#DIV/0!</v>
      </c>
    </row>
    <row r="27" spans="1:17" s="9" customFormat="1" ht="21" customHeight="1">
      <c r="A27" s="26" t="s">
        <v>128</v>
      </c>
      <c r="B27" s="59" t="s">
        <v>7</v>
      </c>
      <c r="C27" s="6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</row>
    <row r="28" spans="1:17" s="9" customFormat="1" ht="22.5" customHeight="1">
      <c r="A28" s="24" t="s">
        <v>129</v>
      </c>
      <c r="B28" s="29" t="s">
        <v>53</v>
      </c>
      <c r="C28" s="28" t="s">
        <v>8</v>
      </c>
      <c r="D28" s="10">
        <v>0.637</v>
      </c>
      <c r="E28" s="10"/>
      <c r="F28" s="10">
        <v>0.591</v>
      </c>
      <c r="G28" s="12">
        <f>F28/D28*100</f>
        <v>92.77864992150707</v>
      </c>
      <c r="H28" s="10">
        <v>1.247</v>
      </c>
      <c r="I28" s="12">
        <f>F28/D28*100</f>
        <v>92.77864992150707</v>
      </c>
      <c r="J28" s="10" t="s">
        <v>91</v>
      </c>
      <c r="K28" s="12"/>
      <c r="L28" s="10"/>
      <c r="M28" s="12"/>
      <c r="N28" s="10" t="s">
        <v>91</v>
      </c>
      <c r="O28" s="12" t="s">
        <v>91</v>
      </c>
      <c r="P28" s="23" t="s">
        <v>91</v>
      </c>
      <c r="Q28" s="13" t="e">
        <f>P28/L28*100</f>
        <v>#VALUE!</v>
      </c>
    </row>
    <row r="29" spans="1:17" s="9" customFormat="1" ht="21.75" customHeight="1">
      <c r="A29" s="24" t="s">
        <v>130</v>
      </c>
      <c r="B29" s="29" t="s">
        <v>9</v>
      </c>
      <c r="C29" s="28" t="s">
        <v>10</v>
      </c>
      <c r="D29" s="10">
        <v>0.03</v>
      </c>
      <c r="E29" s="10"/>
      <c r="F29" s="10">
        <v>0.03</v>
      </c>
      <c r="G29" s="12">
        <f aca="true" t="shared" si="2" ref="G29:G34">F29/D29*100</f>
        <v>100</v>
      </c>
      <c r="H29" s="10">
        <v>0.0488</v>
      </c>
      <c r="I29" s="12">
        <f aca="true" t="shared" si="3" ref="I29:I34">F29/D29*100</f>
        <v>100</v>
      </c>
      <c r="J29" s="10" t="s">
        <v>91</v>
      </c>
      <c r="K29" s="10" t="s">
        <v>91</v>
      </c>
      <c r="L29" s="10" t="s">
        <v>91</v>
      </c>
      <c r="M29" s="10" t="s">
        <v>91</v>
      </c>
      <c r="N29" s="10" t="s">
        <v>91</v>
      </c>
      <c r="O29" s="10" t="s">
        <v>91</v>
      </c>
      <c r="P29" s="10" t="s">
        <v>91</v>
      </c>
      <c r="Q29" s="13" t="e">
        <f aca="true" t="shared" si="4" ref="Q29:Q41">P29/L29*100</f>
        <v>#VALUE!</v>
      </c>
    </row>
    <row r="30" spans="1:17" s="9" customFormat="1" ht="22.5" customHeight="1">
      <c r="A30" s="24" t="s">
        <v>131</v>
      </c>
      <c r="B30" s="29" t="s">
        <v>11</v>
      </c>
      <c r="C30" s="28" t="s">
        <v>12</v>
      </c>
      <c r="D30" s="10">
        <v>0.01</v>
      </c>
      <c r="E30" s="10"/>
      <c r="F30" s="10">
        <v>0.01</v>
      </c>
      <c r="G30" s="12">
        <f t="shared" si="2"/>
        <v>100</v>
      </c>
      <c r="H30" s="10">
        <v>0.0295</v>
      </c>
      <c r="I30" s="12">
        <f t="shared" si="3"/>
        <v>100</v>
      </c>
      <c r="J30" s="10" t="s">
        <v>91</v>
      </c>
      <c r="K30" s="10" t="s">
        <v>91</v>
      </c>
      <c r="L30" s="10" t="s">
        <v>91</v>
      </c>
      <c r="M30" s="10" t="s">
        <v>91</v>
      </c>
      <c r="N30" s="10" t="s">
        <v>91</v>
      </c>
      <c r="O30" s="10" t="s">
        <v>91</v>
      </c>
      <c r="P30" s="10" t="s">
        <v>91</v>
      </c>
      <c r="Q30" s="13" t="e">
        <f t="shared" si="4"/>
        <v>#VALUE!</v>
      </c>
    </row>
    <row r="31" spans="1:17" s="9" customFormat="1" ht="21" customHeight="1">
      <c r="A31" s="24" t="s">
        <v>132</v>
      </c>
      <c r="B31" s="29" t="s">
        <v>52</v>
      </c>
      <c r="C31" s="28" t="s">
        <v>14</v>
      </c>
      <c r="D31" s="10"/>
      <c r="E31" s="10"/>
      <c r="F31" s="10"/>
      <c r="G31" s="12"/>
      <c r="H31" s="10"/>
      <c r="I31" s="12"/>
      <c r="J31" s="10" t="s">
        <v>91</v>
      </c>
      <c r="K31" s="10" t="s">
        <v>91</v>
      </c>
      <c r="L31" s="10" t="s">
        <v>91</v>
      </c>
      <c r="M31" s="10" t="s">
        <v>91</v>
      </c>
      <c r="N31" s="10" t="s">
        <v>91</v>
      </c>
      <c r="O31" s="10" t="s">
        <v>91</v>
      </c>
      <c r="P31" s="10" t="s">
        <v>91</v>
      </c>
      <c r="Q31" s="11"/>
    </row>
    <row r="32" spans="1:19" s="9" customFormat="1" ht="21.75" customHeight="1">
      <c r="A32" s="24" t="s">
        <v>133</v>
      </c>
      <c r="B32" s="29" t="s">
        <v>13</v>
      </c>
      <c r="C32" s="28" t="s">
        <v>14</v>
      </c>
      <c r="D32" s="10">
        <v>192.4</v>
      </c>
      <c r="E32" s="10"/>
      <c r="F32" s="10">
        <v>111</v>
      </c>
      <c r="G32" s="12">
        <f t="shared" si="2"/>
        <v>57.692307692307686</v>
      </c>
      <c r="H32" s="10">
        <v>177</v>
      </c>
      <c r="I32" s="12">
        <f t="shared" si="3"/>
        <v>57.692307692307686</v>
      </c>
      <c r="J32" s="10">
        <v>82.3</v>
      </c>
      <c r="K32" s="12"/>
      <c r="L32" s="10"/>
      <c r="M32" s="12"/>
      <c r="N32" s="84" t="s">
        <v>229</v>
      </c>
      <c r="O32" s="85"/>
      <c r="P32" s="86"/>
      <c r="Q32" s="81" t="e">
        <f t="shared" si="4"/>
        <v>#DIV/0!</v>
      </c>
      <c r="R32" s="82"/>
      <c r="S32" s="76"/>
    </row>
    <row r="33" spans="1:19" s="9" customFormat="1" ht="21.75" customHeight="1">
      <c r="A33" s="24" t="s">
        <v>134</v>
      </c>
      <c r="B33" s="29" t="s">
        <v>108</v>
      </c>
      <c r="C33" s="28" t="s">
        <v>14</v>
      </c>
      <c r="D33" s="10">
        <v>93.3</v>
      </c>
      <c r="E33" s="10"/>
      <c r="F33" s="10">
        <v>60</v>
      </c>
      <c r="G33" s="12">
        <f t="shared" si="2"/>
        <v>64.30868167202573</v>
      </c>
      <c r="H33" s="10">
        <v>121.3</v>
      </c>
      <c r="I33" s="12">
        <f t="shared" si="3"/>
        <v>64.30868167202573</v>
      </c>
      <c r="J33" s="10">
        <v>46.6</v>
      </c>
      <c r="K33" s="12"/>
      <c r="L33" s="10"/>
      <c r="M33" s="12"/>
      <c r="N33" s="84" t="s">
        <v>229</v>
      </c>
      <c r="O33" s="85"/>
      <c r="P33" s="86"/>
      <c r="Q33" s="81" t="e">
        <f t="shared" si="4"/>
        <v>#DIV/0!</v>
      </c>
      <c r="R33" s="82"/>
      <c r="S33" s="76"/>
    </row>
    <row r="34" spans="1:19" s="9" customFormat="1" ht="18.75" customHeight="1">
      <c r="A34" s="24" t="s">
        <v>135</v>
      </c>
      <c r="B34" s="29" t="s">
        <v>15</v>
      </c>
      <c r="C34" s="28" t="s">
        <v>14</v>
      </c>
      <c r="D34" s="10">
        <v>23.3</v>
      </c>
      <c r="E34" s="10"/>
      <c r="F34" s="10">
        <v>6.5</v>
      </c>
      <c r="G34" s="12">
        <f t="shared" si="2"/>
        <v>27.896995708154503</v>
      </c>
      <c r="H34" s="10">
        <v>19.8</v>
      </c>
      <c r="I34" s="12">
        <f t="shared" si="3"/>
        <v>27.896995708154503</v>
      </c>
      <c r="J34" s="10">
        <v>14.2</v>
      </c>
      <c r="K34" s="12"/>
      <c r="L34" s="10"/>
      <c r="M34" s="12"/>
      <c r="N34" s="84" t="s">
        <v>229</v>
      </c>
      <c r="O34" s="85"/>
      <c r="P34" s="86"/>
      <c r="Q34" s="81" t="e">
        <f t="shared" si="4"/>
        <v>#DIV/0!</v>
      </c>
      <c r="R34" s="82"/>
      <c r="S34" s="76"/>
    </row>
    <row r="35" spans="1:19" s="9" customFormat="1" ht="24.75" customHeight="1">
      <c r="A35" s="26" t="s">
        <v>136</v>
      </c>
      <c r="B35" s="61" t="s">
        <v>78</v>
      </c>
      <c r="C35" s="60"/>
      <c r="D35" s="10"/>
      <c r="E35" s="10"/>
      <c r="F35" s="10"/>
      <c r="G35" s="10"/>
      <c r="H35" s="10"/>
      <c r="I35" s="10"/>
      <c r="J35" s="10"/>
      <c r="K35" s="10"/>
      <c r="L35" s="10"/>
      <c r="M35" s="12"/>
      <c r="N35" s="79"/>
      <c r="O35" s="79"/>
      <c r="P35" s="83"/>
      <c r="Q35" s="75"/>
      <c r="R35" s="76"/>
      <c r="S35" s="76"/>
    </row>
    <row r="36" spans="1:17" s="9" customFormat="1" ht="28.5" customHeight="1">
      <c r="A36" s="24"/>
      <c r="B36" s="29" t="s">
        <v>1</v>
      </c>
      <c r="C36" s="28" t="s">
        <v>223</v>
      </c>
      <c r="D36" s="10">
        <v>570.7</v>
      </c>
      <c r="E36" s="10" t="s">
        <v>91</v>
      </c>
      <c r="F36" s="10">
        <v>2242.8</v>
      </c>
      <c r="G36" s="10" t="s">
        <v>91</v>
      </c>
      <c r="H36" s="10">
        <v>4190.6</v>
      </c>
      <c r="I36" s="12">
        <f>H36/2154.3*100</f>
        <v>194.52258274149378</v>
      </c>
      <c r="J36" s="10" t="s">
        <v>91</v>
      </c>
      <c r="K36" s="10"/>
      <c r="L36" s="10"/>
      <c r="M36" s="12"/>
      <c r="N36" s="10" t="s">
        <v>91</v>
      </c>
      <c r="O36" s="10" t="s">
        <v>91</v>
      </c>
      <c r="P36" s="47" t="s">
        <v>91</v>
      </c>
      <c r="Q36" s="13" t="e">
        <f t="shared" si="4"/>
        <v>#VALUE!</v>
      </c>
    </row>
    <row r="37" spans="1:17" s="9" customFormat="1" ht="78" customHeight="1">
      <c r="A37" s="24" t="s">
        <v>137</v>
      </c>
      <c r="B37" s="34" t="s">
        <v>61</v>
      </c>
      <c r="C37" s="35" t="s">
        <v>65</v>
      </c>
      <c r="D37" s="12">
        <f>D36/255/D38*100*100</f>
        <v>206.8428110615781</v>
      </c>
      <c r="E37" s="10" t="s">
        <v>91</v>
      </c>
      <c r="F37" s="12">
        <f>F36/D36/F38*100*100</f>
        <v>362.8726349086776</v>
      </c>
      <c r="G37" s="10" t="s">
        <v>91</v>
      </c>
      <c r="H37" s="12">
        <f>H36/2154.3/H38*100*100</f>
        <v>179.61457316850763</v>
      </c>
      <c r="I37" s="12">
        <f>H37/81.7*100</f>
        <v>219.84647878642303</v>
      </c>
      <c r="J37" s="10" t="s">
        <v>91</v>
      </c>
      <c r="K37" s="10" t="s">
        <v>91</v>
      </c>
      <c r="L37" s="10" t="s">
        <v>91</v>
      </c>
      <c r="M37" s="10" t="s">
        <v>91</v>
      </c>
      <c r="N37" s="10" t="s">
        <v>91</v>
      </c>
      <c r="O37" s="10" t="s">
        <v>91</v>
      </c>
      <c r="P37" s="48" t="s">
        <v>91</v>
      </c>
      <c r="Q37" s="13" t="e">
        <f t="shared" si="4"/>
        <v>#VALUE!</v>
      </c>
    </row>
    <row r="38" spans="1:17" s="17" customFormat="1" ht="23.25" customHeight="1" hidden="1">
      <c r="A38" s="31"/>
      <c r="B38" s="36" t="s">
        <v>190</v>
      </c>
      <c r="C38" s="37"/>
      <c r="D38" s="15">
        <v>108.2</v>
      </c>
      <c r="E38" s="15"/>
      <c r="F38" s="15">
        <v>108.3</v>
      </c>
      <c r="G38" s="15"/>
      <c r="H38" s="15">
        <v>108.3</v>
      </c>
      <c r="I38" s="15"/>
      <c r="J38" s="15"/>
      <c r="K38" s="15"/>
      <c r="L38" s="15"/>
      <c r="M38" s="12"/>
      <c r="N38" s="15"/>
      <c r="O38" s="15"/>
      <c r="P38" s="49"/>
      <c r="Q38" s="13" t="e">
        <f t="shared" si="4"/>
        <v>#DIV/0!</v>
      </c>
    </row>
    <row r="39" spans="1:17" s="9" customFormat="1" ht="30.75" customHeight="1" hidden="1">
      <c r="A39" s="26" t="s">
        <v>138</v>
      </c>
      <c r="B39" s="59" t="s">
        <v>79</v>
      </c>
      <c r="C39" s="60"/>
      <c r="D39" s="10"/>
      <c r="E39" s="10"/>
      <c r="F39" s="10"/>
      <c r="G39" s="10"/>
      <c r="H39" s="10"/>
      <c r="I39" s="10"/>
      <c r="J39" s="10"/>
      <c r="K39" s="10"/>
      <c r="L39" s="10"/>
      <c r="M39" s="12"/>
      <c r="N39" s="10"/>
      <c r="O39" s="10"/>
      <c r="P39" s="47"/>
      <c r="Q39" s="13"/>
    </row>
    <row r="40" spans="1:17" s="9" customFormat="1" ht="12.75" hidden="1">
      <c r="A40" s="24"/>
      <c r="B40" s="29" t="s">
        <v>1</v>
      </c>
      <c r="C40" s="28" t="s">
        <v>16</v>
      </c>
      <c r="D40" s="10">
        <v>17.2</v>
      </c>
      <c r="E40" s="10" t="s">
        <v>91</v>
      </c>
      <c r="F40" s="10">
        <v>323.2</v>
      </c>
      <c r="G40" s="10" t="s">
        <v>91</v>
      </c>
      <c r="H40" s="10">
        <v>247.9</v>
      </c>
      <c r="I40" s="10"/>
      <c r="J40" s="10"/>
      <c r="K40" s="10"/>
      <c r="L40" s="10"/>
      <c r="M40" s="12"/>
      <c r="N40" s="10"/>
      <c r="O40" s="10"/>
      <c r="P40" s="47"/>
      <c r="Q40" s="13" t="e">
        <f t="shared" si="4"/>
        <v>#DIV/0!</v>
      </c>
    </row>
    <row r="41" spans="1:17" s="9" customFormat="1" ht="66" hidden="1">
      <c r="A41" s="24" t="s">
        <v>139</v>
      </c>
      <c r="B41" s="34" t="s">
        <v>61</v>
      </c>
      <c r="C41" s="35" t="s">
        <v>65</v>
      </c>
      <c r="D41" s="12">
        <f>D40/91.5/D42*100*100</f>
        <v>17.182645528016703</v>
      </c>
      <c r="E41" s="10" t="s">
        <v>91</v>
      </c>
      <c r="F41" s="12">
        <f>F40/D40/F42*100*100</f>
        <v>1777.7386636157623</v>
      </c>
      <c r="G41" s="10" t="s">
        <v>91</v>
      </c>
      <c r="H41" s="12">
        <f>H40/193/H42*100*100</f>
        <v>121.51901216170509</v>
      </c>
      <c r="I41" s="10"/>
      <c r="J41" s="12"/>
      <c r="K41" s="10"/>
      <c r="L41" s="12"/>
      <c r="M41" s="12"/>
      <c r="N41" s="12"/>
      <c r="O41" s="10"/>
      <c r="P41" s="48"/>
      <c r="Q41" s="13" t="e">
        <f t="shared" si="4"/>
        <v>#DIV/0!</v>
      </c>
    </row>
    <row r="42" spans="1:17" s="17" customFormat="1" ht="12.75" hidden="1">
      <c r="A42" s="31"/>
      <c r="B42" s="36" t="s">
        <v>190</v>
      </c>
      <c r="C42" s="37"/>
      <c r="D42" s="15">
        <v>109.4</v>
      </c>
      <c r="E42" s="15"/>
      <c r="F42" s="15">
        <v>105.7</v>
      </c>
      <c r="G42" s="15"/>
      <c r="H42" s="15">
        <v>105.7</v>
      </c>
      <c r="I42" s="15"/>
      <c r="J42" s="15"/>
      <c r="K42" s="15"/>
      <c r="L42" s="15"/>
      <c r="M42" s="15"/>
      <c r="N42" s="15"/>
      <c r="O42" s="15"/>
      <c r="P42" s="49"/>
      <c r="Q42" s="18"/>
    </row>
    <row r="43" spans="1:17" s="9" customFormat="1" ht="24" customHeight="1">
      <c r="A43" s="26" t="s">
        <v>138</v>
      </c>
      <c r="B43" s="61" t="s">
        <v>80</v>
      </c>
      <c r="C43" s="6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7"/>
      <c r="Q43" s="11"/>
    </row>
    <row r="44" spans="1:17" s="9" customFormat="1" ht="12.75">
      <c r="A44" s="24"/>
      <c r="B44" s="29" t="s">
        <v>1</v>
      </c>
      <c r="C44" s="28" t="s">
        <v>46</v>
      </c>
      <c r="D44" s="10">
        <v>1567.9</v>
      </c>
      <c r="E44" s="10" t="s">
        <v>91</v>
      </c>
      <c r="F44" s="10">
        <v>1625.4</v>
      </c>
      <c r="G44" s="10" t="s">
        <v>91</v>
      </c>
      <c r="H44" s="10">
        <v>1986.8</v>
      </c>
      <c r="I44" s="12">
        <f>H44/2878.8*100</f>
        <v>69.01486730582187</v>
      </c>
      <c r="J44" s="10">
        <v>54600</v>
      </c>
      <c r="K44" s="10"/>
      <c r="L44" s="10"/>
      <c r="M44" s="12"/>
      <c r="N44" s="10">
        <v>54900</v>
      </c>
      <c r="O44" s="50">
        <v>1.005</v>
      </c>
      <c r="P44" s="55"/>
      <c r="Q44" s="13" t="e">
        <f>P44/L44*100</f>
        <v>#DIV/0!</v>
      </c>
    </row>
    <row r="45" spans="1:17" s="9" customFormat="1" ht="66">
      <c r="A45" s="24" t="s">
        <v>192</v>
      </c>
      <c r="B45" s="34" t="s">
        <v>61</v>
      </c>
      <c r="C45" s="35" t="s">
        <v>65</v>
      </c>
      <c r="D45" s="12">
        <f>D44/1068.4/D46*100*100</f>
        <v>136.1337224042471</v>
      </c>
      <c r="E45" s="10" t="s">
        <v>91</v>
      </c>
      <c r="F45" s="12">
        <f>F44/D44/F46*100*100</f>
        <v>97.61518429595455</v>
      </c>
      <c r="G45" s="10" t="s">
        <v>91</v>
      </c>
      <c r="H45" s="12">
        <f>H44/2878.8/H46*100*100</f>
        <v>64.98575075877766</v>
      </c>
      <c r="I45" s="12">
        <f>H45/78.9*100</f>
        <v>82.36470311632148</v>
      </c>
      <c r="J45" s="12" t="s">
        <v>225</v>
      </c>
      <c r="K45" s="10"/>
      <c r="L45" s="12"/>
      <c r="M45" s="12"/>
      <c r="N45" s="12">
        <v>1</v>
      </c>
      <c r="O45" s="10" t="s">
        <v>91</v>
      </c>
      <c r="P45" s="48" t="s">
        <v>91</v>
      </c>
      <c r="Q45" s="13" t="e">
        <f>P45/L45*100</f>
        <v>#VALUE!</v>
      </c>
    </row>
    <row r="46" spans="1:17" s="17" customFormat="1" ht="12.75" hidden="1">
      <c r="A46" s="31"/>
      <c r="B46" s="36" t="s">
        <v>190</v>
      </c>
      <c r="C46" s="37"/>
      <c r="D46" s="15">
        <v>107.8</v>
      </c>
      <c r="E46" s="15"/>
      <c r="F46" s="15">
        <v>106.2</v>
      </c>
      <c r="G46" s="15"/>
      <c r="H46" s="15">
        <v>106.2</v>
      </c>
      <c r="I46" s="15"/>
      <c r="J46" s="15"/>
      <c r="K46" s="15"/>
      <c r="L46" s="15"/>
      <c r="M46" s="15"/>
      <c r="N46" s="15"/>
      <c r="O46" s="15"/>
      <c r="P46" s="49"/>
      <c r="Q46" s="18"/>
    </row>
    <row r="47" spans="1:17" s="9" customFormat="1" ht="14.25" customHeight="1">
      <c r="A47" s="26" t="s">
        <v>140</v>
      </c>
      <c r="B47" s="61" t="s">
        <v>81</v>
      </c>
      <c r="C47" s="6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47" t="s">
        <v>91</v>
      </c>
      <c r="Q47" s="11"/>
    </row>
    <row r="48" spans="1:17" s="9" customFormat="1" ht="21" customHeight="1">
      <c r="A48" s="24"/>
      <c r="B48" s="29" t="s">
        <v>1</v>
      </c>
      <c r="C48" s="28" t="s">
        <v>46</v>
      </c>
      <c r="D48" s="10">
        <v>170.6</v>
      </c>
      <c r="E48" s="10" t="s">
        <v>91</v>
      </c>
      <c r="F48" s="10">
        <v>162.8</v>
      </c>
      <c r="G48" s="10" t="s">
        <v>91</v>
      </c>
      <c r="H48" s="10">
        <v>426.9</v>
      </c>
      <c r="I48" s="12">
        <f>H48/396.01*100</f>
        <v>107.80030807302845</v>
      </c>
      <c r="J48" s="10">
        <v>39500</v>
      </c>
      <c r="K48" s="10"/>
      <c r="L48" s="10"/>
      <c r="M48" s="12"/>
      <c r="N48" s="10">
        <v>43100</v>
      </c>
      <c r="O48" s="50">
        <v>1.091</v>
      </c>
      <c r="P48" s="55"/>
      <c r="Q48" s="13" t="e">
        <f>P48/L48*100</f>
        <v>#DIV/0!</v>
      </c>
    </row>
    <row r="49" spans="1:17" s="9" customFormat="1" ht="84.75" customHeight="1">
      <c r="A49" s="24" t="s">
        <v>193</v>
      </c>
      <c r="B49" s="34" t="s">
        <v>61</v>
      </c>
      <c r="C49" s="35" t="s">
        <v>65</v>
      </c>
      <c r="D49" s="12">
        <f>D48/160.4/D50*100*100</f>
        <v>98.38954879221926</v>
      </c>
      <c r="E49" s="10" t="s">
        <v>91</v>
      </c>
      <c r="F49" s="12">
        <f>F48/D48/F50*100*100</f>
        <v>88.27742971695915</v>
      </c>
      <c r="G49" s="10" t="s">
        <v>91</v>
      </c>
      <c r="H49" s="12">
        <f>H48/396.01/H50*100*100</f>
        <v>99.72276417486444</v>
      </c>
      <c r="I49" s="12">
        <f>H49/106.9*100</f>
        <v>93.28602822718844</v>
      </c>
      <c r="J49" s="46">
        <v>0.072</v>
      </c>
      <c r="K49" s="10"/>
      <c r="L49" s="12"/>
      <c r="M49" s="12"/>
      <c r="N49" s="46">
        <v>0.091</v>
      </c>
      <c r="O49" s="10" t="s">
        <v>91</v>
      </c>
      <c r="P49" s="48" t="s">
        <v>91</v>
      </c>
      <c r="Q49" s="13" t="e">
        <f>P49/L49*100</f>
        <v>#VALUE!</v>
      </c>
    </row>
    <row r="50" spans="1:17" s="17" customFormat="1" ht="18" customHeight="1" hidden="1">
      <c r="A50" s="31"/>
      <c r="B50" s="36" t="s">
        <v>190</v>
      </c>
      <c r="C50" s="37"/>
      <c r="D50" s="15">
        <v>108.1</v>
      </c>
      <c r="E50" s="15"/>
      <c r="F50" s="15">
        <v>108.1</v>
      </c>
      <c r="G50" s="15"/>
      <c r="H50" s="15">
        <v>108.1</v>
      </c>
      <c r="I50" s="15"/>
      <c r="J50" s="15"/>
      <c r="K50" s="15"/>
      <c r="L50" s="15"/>
      <c r="M50" s="15"/>
      <c r="N50" s="15"/>
      <c r="O50" s="15"/>
      <c r="P50" s="18"/>
      <c r="Q50" s="18"/>
    </row>
    <row r="51" spans="1:17" s="9" customFormat="1" ht="32.25" customHeight="1">
      <c r="A51" s="26" t="s">
        <v>141</v>
      </c>
      <c r="B51" s="70" t="s">
        <v>17</v>
      </c>
      <c r="C51" s="7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1"/>
      <c r="Q51" s="11"/>
    </row>
    <row r="52" spans="1:17" s="9" customFormat="1" ht="27" customHeight="1" hidden="1">
      <c r="A52" s="24"/>
      <c r="B52" s="29" t="s">
        <v>1</v>
      </c>
      <c r="C52" s="28" t="s">
        <v>2</v>
      </c>
      <c r="D52" s="10"/>
      <c r="E52" s="10" t="s">
        <v>91</v>
      </c>
      <c r="F52" s="10"/>
      <c r="G52" s="10" t="s">
        <v>91</v>
      </c>
      <c r="H52" s="10">
        <v>495.28</v>
      </c>
      <c r="I52" s="12">
        <f>H52/458.62*100</f>
        <v>107.99354585495618</v>
      </c>
      <c r="J52" s="10"/>
      <c r="K52" s="10"/>
      <c r="L52" s="10"/>
      <c r="M52" s="12"/>
      <c r="N52" s="10"/>
      <c r="O52" s="10"/>
      <c r="P52" s="11"/>
      <c r="Q52" s="13" t="e">
        <f>P52/L52*100</f>
        <v>#DIV/0!</v>
      </c>
    </row>
    <row r="53" spans="1:17" s="9" customFormat="1" ht="56.25" customHeight="1" hidden="1">
      <c r="A53" s="24" t="s">
        <v>143</v>
      </c>
      <c r="B53" s="29" t="s">
        <v>90</v>
      </c>
      <c r="C53" s="28" t="s">
        <v>63</v>
      </c>
      <c r="D53" s="10"/>
      <c r="E53" s="10" t="s">
        <v>91</v>
      </c>
      <c r="F53" s="10"/>
      <c r="G53" s="10" t="s">
        <v>91</v>
      </c>
      <c r="H53" s="10">
        <v>90.82</v>
      </c>
      <c r="I53" s="12">
        <f>H53/109.65*100</f>
        <v>82.82717738258093</v>
      </c>
      <c r="J53" s="10"/>
      <c r="K53" s="10"/>
      <c r="L53" s="10"/>
      <c r="M53" s="12"/>
      <c r="N53" s="10"/>
      <c r="O53" s="10"/>
      <c r="P53" s="11"/>
      <c r="Q53" s="13" t="e">
        <f>P53/L53*100</f>
        <v>#DIV/0!</v>
      </c>
    </row>
    <row r="54" spans="1:17" s="17" customFormat="1" ht="16.5" customHeight="1" hidden="1">
      <c r="A54" s="31"/>
      <c r="B54" s="32" t="s">
        <v>190</v>
      </c>
      <c r="C54" s="33"/>
      <c r="D54" s="15">
        <v>110.3</v>
      </c>
      <c r="E54" s="15"/>
      <c r="F54" s="15">
        <v>117.3</v>
      </c>
      <c r="G54" s="15"/>
      <c r="H54" s="15">
        <v>117.3</v>
      </c>
      <c r="I54" s="15"/>
      <c r="J54" s="15"/>
      <c r="K54" s="15"/>
      <c r="L54" s="15"/>
      <c r="M54" s="15"/>
      <c r="N54" s="15"/>
      <c r="O54" s="15"/>
      <c r="P54" s="18"/>
      <c r="Q54" s="18"/>
    </row>
    <row r="55" spans="1:17" s="9" customFormat="1" ht="21" customHeight="1">
      <c r="A55" s="24" t="s">
        <v>194</v>
      </c>
      <c r="B55" s="29" t="s">
        <v>18</v>
      </c>
      <c r="C55" s="28" t="s">
        <v>67</v>
      </c>
      <c r="D55" s="10">
        <v>82</v>
      </c>
      <c r="E55" s="12">
        <f>D55/79.1*100</f>
        <v>103.6662452591656</v>
      </c>
      <c r="F55" s="10">
        <v>106</v>
      </c>
      <c r="G55" s="12">
        <f>F55/D55*100</f>
        <v>129.26829268292684</v>
      </c>
      <c r="H55" s="10">
        <v>293</v>
      </c>
      <c r="I55" s="12">
        <f>H55/119*100</f>
        <v>246.218487394958</v>
      </c>
      <c r="J55" s="10" t="s">
        <v>91</v>
      </c>
      <c r="K55" s="12"/>
      <c r="L55" s="10"/>
      <c r="M55" s="12"/>
      <c r="N55" s="10">
        <v>1</v>
      </c>
      <c r="O55" s="12" t="s">
        <v>91</v>
      </c>
      <c r="P55" s="47" t="s">
        <v>91</v>
      </c>
      <c r="Q55" s="13" t="e">
        <f>P55/L55*100</f>
        <v>#VALUE!</v>
      </c>
    </row>
    <row r="56" spans="1:18" s="9" customFormat="1" ht="21" customHeight="1">
      <c r="A56" s="24" t="s">
        <v>195</v>
      </c>
      <c r="B56" s="29" t="s">
        <v>20</v>
      </c>
      <c r="C56" s="28" t="s">
        <v>67</v>
      </c>
      <c r="D56" s="10">
        <v>544.1</v>
      </c>
      <c r="E56" s="12">
        <f>D56/496.7*100</f>
        <v>109.54298369236966</v>
      </c>
      <c r="F56" s="10">
        <v>509</v>
      </c>
      <c r="G56" s="12">
        <f>F56/D56*100</f>
        <v>93.54897996691784</v>
      </c>
      <c r="H56" s="10">
        <v>841.5</v>
      </c>
      <c r="I56" s="12">
        <f>H56/896.6*100</f>
        <v>93.85456167744813</v>
      </c>
      <c r="J56" s="10">
        <v>11</v>
      </c>
      <c r="K56" s="12"/>
      <c r="L56" s="10"/>
      <c r="M56" s="12"/>
      <c r="N56" s="10">
        <v>25</v>
      </c>
      <c r="O56" s="12"/>
      <c r="P56" s="57"/>
      <c r="Q56" s="13" t="e">
        <f>P56/L56*100</f>
        <v>#DIV/0!</v>
      </c>
      <c r="R56" s="58"/>
    </row>
    <row r="57" spans="1:17" s="9" customFormat="1" ht="22.5" customHeight="1">
      <c r="A57" s="24" t="s">
        <v>196</v>
      </c>
      <c r="B57" s="29" t="s">
        <v>21</v>
      </c>
      <c r="C57" s="28" t="s">
        <v>22</v>
      </c>
      <c r="D57" s="10"/>
      <c r="E57" s="10"/>
      <c r="F57" s="10"/>
      <c r="G57" s="10"/>
      <c r="H57" s="10"/>
      <c r="I57" s="10"/>
      <c r="J57" s="10" t="s">
        <v>91</v>
      </c>
      <c r="K57" s="10"/>
      <c r="L57" s="10"/>
      <c r="M57" s="10"/>
      <c r="N57" s="10" t="s">
        <v>91</v>
      </c>
      <c r="O57" s="10" t="s">
        <v>91</v>
      </c>
      <c r="P57" s="47" t="s">
        <v>91</v>
      </c>
      <c r="Q57" s="11"/>
    </row>
    <row r="58" spans="1:17" s="9" customFormat="1" ht="18.75" customHeight="1">
      <c r="A58" s="24" t="s">
        <v>197</v>
      </c>
      <c r="B58" s="29" t="s">
        <v>23</v>
      </c>
      <c r="C58" s="28" t="s">
        <v>19</v>
      </c>
      <c r="D58" s="10"/>
      <c r="E58" s="10"/>
      <c r="F58" s="10"/>
      <c r="G58" s="10"/>
      <c r="H58" s="10"/>
      <c r="I58" s="10"/>
      <c r="J58" s="10" t="s">
        <v>91</v>
      </c>
      <c r="K58" s="10"/>
      <c r="L58" s="10"/>
      <c r="M58" s="10"/>
      <c r="N58" s="10" t="s">
        <v>91</v>
      </c>
      <c r="O58" s="10" t="s">
        <v>91</v>
      </c>
      <c r="P58" s="47" t="s">
        <v>91</v>
      </c>
      <c r="Q58" s="11"/>
    </row>
    <row r="59" spans="1:17" s="9" customFormat="1" ht="18.75" customHeight="1">
      <c r="A59" s="24" t="s">
        <v>198</v>
      </c>
      <c r="B59" s="29" t="s">
        <v>24</v>
      </c>
      <c r="C59" s="28" t="s">
        <v>19</v>
      </c>
      <c r="D59" s="10"/>
      <c r="E59" s="10"/>
      <c r="F59" s="10"/>
      <c r="G59" s="10"/>
      <c r="H59" s="10"/>
      <c r="I59" s="10"/>
      <c r="J59" s="10" t="s">
        <v>91</v>
      </c>
      <c r="K59" s="10"/>
      <c r="L59" s="10"/>
      <c r="M59" s="10"/>
      <c r="N59" s="10" t="s">
        <v>91</v>
      </c>
      <c r="O59" s="10" t="s">
        <v>91</v>
      </c>
      <c r="P59" s="47" t="s">
        <v>91</v>
      </c>
      <c r="Q59" s="11"/>
    </row>
    <row r="60" spans="1:17" s="9" customFormat="1" ht="24" customHeight="1">
      <c r="A60" s="24" t="s">
        <v>199</v>
      </c>
      <c r="B60" s="29" t="s">
        <v>25</v>
      </c>
      <c r="C60" s="28" t="s">
        <v>26</v>
      </c>
      <c r="D60" s="10">
        <v>0.749</v>
      </c>
      <c r="E60" s="12">
        <f>D60/0.816*100</f>
        <v>91.78921568627452</v>
      </c>
      <c r="F60" s="10">
        <v>0.817</v>
      </c>
      <c r="G60" s="12">
        <f>F60/D60*100</f>
        <v>109.07877169559413</v>
      </c>
      <c r="H60" s="10">
        <v>0.67</v>
      </c>
      <c r="I60" s="12">
        <f>H60/0.651*100</f>
        <v>102.91858678955454</v>
      </c>
      <c r="J60" s="10" t="s">
        <v>91</v>
      </c>
      <c r="K60" s="12"/>
      <c r="L60" s="10"/>
      <c r="M60" s="12"/>
      <c r="N60" s="10" t="s">
        <v>91</v>
      </c>
      <c r="O60" s="12" t="s">
        <v>91</v>
      </c>
      <c r="P60" s="47" t="s">
        <v>91</v>
      </c>
      <c r="Q60" s="13" t="e">
        <f>P60/L60*100</f>
        <v>#VALUE!</v>
      </c>
    </row>
    <row r="61" spans="1:17" s="9" customFormat="1" ht="24" customHeight="1">
      <c r="A61" s="26" t="s">
        <v>142</v>
      </c>
      <c r="B61" s="59" t="s">
        <v>73</v>
      </c>
      <c r="C61" s="6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1"/>
      <c r="Q61" s="11"/>
    </row>
    <row r="62" spans="1:18" s="9" customFormat="1" ht="22.5" customHeight="1">
      <c r="A62" s="24" t="s">
        <v>143</v>
      </c>
      <c r="B62" s="38" t="s">
        <v>66</v>
      </c>
      <c r="C62" s="39" t="s">
        <v>67</v>
      </c>
      <c r="D62" s="10">
        <v>1090</v>
      </c>
      <c r="E62" s="12">
        <f>D62/1440*100</f>
        <v>75.69444444444444</v>
      </c>
      <c r="F62" s="10">
        <v>1089</v>
      </c>
      <c r="G62" s="12">
        <f>F62/D62*100</f>
        <v>99.90825688073394</v>
      </c>
      <c r="H62" s="10">
        <v>2087</v>
      </c>
      <c r="I62" s="12">
        <f>H62/2180*100</f>
        <v>95.73394495412843</v>
      </c>
      <c r="J62" s="10">
        <v>106.1</v>
      </c>
      <c r="K62" s="12"/>
      <c r="L62" s="10"/>
      <c r="M62" s="12"/>
      <c r="N62" s="10">
        <v>145.9</v>
      </c>
      <c r="O62" s="46">
        <v>1.375</v>
      </c>
      <c r="P62" s="8"/>
      <c r="Q62" s="13" t="e">
        <f>P62/L62*100</f>
        <v>#DIV/0!</v>
      </c>
      <c r="R62" s="58"/>
    </row>
    <row r="63" spans="1:17" s="9" customFormat="1" ht="29.25" customHeight="1">
      <c r="A63" s="24" t="s">
        <v>144</v>
      </c>
      <c r="B63" s="38"/>
      <c r="C63" s="39" t="s">
        <v>67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"/>
      <c r="Q63" s="11"/>
    </row>
    <row r="64" spans="1:17" s="9" customFormat="1" ht="12.75">
      <c r="A64" s="24" t="s">
        <v>145</v>
      </c>
      <c r="B64" s="38"/>
      <c r="C64" s="39" t="s">
        <v>67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1"/>
      <c r="Q64" s="11"/>
    </row>
    <row r="65" spans="1:17" s="9" customFormat="1" ht="12.75">
      <c r="A65" s="26" t="s">
        <v>200</v>
      </c>
      <c r="B65" s="59" t="s">
        <v>72</v>
      </c>
      <c r="C65" s="6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"/>
      <c r="Q65" s="11"/>
    </row>
    <row r="66" spans="1:17" s="9" customFormat="1" ht="40.5" customHeight="1">
      <c r="A66" s="24" t="s">
        <v>146</v>
      </c>
      <c r="B66" s="38" t="s">
        <v>214</v>
      </c>
      <c r="C66" s="39" t="s">
        <v>55</v>
      </c>
      <c r="D66" s="10">
        <v>3</v>
      </c>
      <c r="E66" s="10">
        <v>100</v>
      </c>
      <c r="F66" s="10">
        <v>3</v>
      </c>
      <c r="G66" s="10">
        <v>100</v>
      </c>
      <c r="H66" s="10">
        <v>3</v>
      </c>
      <c r="I66" s="10">
        <v>100</v>
      </c>
      <c r="J66" s="10" t="s">
        <v>91</v>
      </c>
      <c r="K66" s="10"/>
      <c r="L66" s="10"/>
      <c r="M66" s="10"/>
      <c r="N66" s="10" t="s">
        <v>91</v>
      </c>
      <c r="O66" s="10"/>
      <c r="P66" s="10"/>
      <c r="Q66" s="10">
        <v>100</v>
      </c>
    </row>
    <row r="67" spans="1:17" s="9" customFormat="1" ht="55.5" customHeight="1">
      <c r="A67" s="24" t="s">
        <v>147</v>
      </c>
      <c r="B67" s="38" t="s">
        <v>215</v>
      </c>
      <c r="C67" s="39" t="s">
        <v>55</v>
      </c>
      <c r="D67" s="10">
        <v>13</v>
      </c>
      <c r="E67" s="10">
        <v>100</v>
      </c>
      <c r="F67" s="10">
        <v>13</v>
      </c>
      <c r="G67" s="10">
        <v>100</v>
      </c>
      <c r="H67" s="10">
        <v>13</v>
      </c>
      <c r="I67" s="10">
        <v>100</v>
      </c>
      <c r="J67" s="10" t="s">
        <v>91</v>
      </c>
      <c r="K67" s="10"/>
      <c r="L67" s="10"/>
      <c r="M67" s="10"/>
      <c r="N67" s="10" t="s">
        <v>91</v>
      </c>
      <c r="O67" s="10"/>
      <c r="P67" s="10"/>
      <c r="Q67" s="10">
        <v>100</v>
      </c>
    </row>
    <row r="68" spans="1:17" s="9" customFormat="1" ht="39.75" customHeight="1">
      <c r="A68" s="24" t="s">
        <v>148</v>
      </c>
      <c r="B68" s="38" t="s">
        <v>216</v>
      </c>
      <c r="C68" s="28" t="s">
        <v>55</v>
      </c>
      <c r="D68" s="10">
        <v>7</v>
      </c>
      <c r="E68" s="10">
        <v>100</v>
      </c>
      <c r="F68" s="10">
        <v>7</v>
      </c>
      <c r="G68" s="10">
        <v>100</v>
      </c>
      <c r="H68" s="10">
        <v>7</v>
      </c>
      <c r="I68" s="10">
        <v>100</v>
      </c>
      <c r="J68" s="10" t="s">
        <v>91</v>
      </c>
      <c r="K68" s="10"/>
      <c r="L68" s="10"/>
      <c r="M68" s="10"/>
      <c r="N68" s="10" t="s">
        <v>91</v>
      </c>
      <c r="O68" s="10"/>
      <c r="P68" s="10"/>
      <c r="Q68" s="10">
        <v>100</v>
      </c>
    </row>
    <row r="69" spans="1:17" s="9" customFormat="1" ht="37.5" customHeight="1">
      <c r="A69" s="24" t="s">
        <v>201</v>
      </c>
      <c r="B69" s="29" t="s">
        <v>217</v>
      </c>
      <c r="C69" s="28" t="s">
        <v>55</v>
      </c>
      <c r="D69" s="10">
        <v>27</v>
      </c>
      <c r="E69" s="10">
        <v>100</v>
      </c>
      <c r="F69" s="10">
        <v>27</v>
      </c>
      <c r="G69" s="10">
        <v>100</v>
      </c>
      <c r="H69" s="10">
        <v>27</v>
      </c>
      <c r="I69" s="10">
        <v>100</v>
      </c>
      <c r="J69" s="10" t="s">
        <v>91</v>
      </c>
      <c r="K69" s="10"/>
      <c r="L69" s="10"/>
      <c r="M69" s="10"/>
      <c r="N69" s="10" t="s">
        <v>91</v>
      </c>
      <c r="O69" s="10"/>
      <c r="P69" s="10"/>
      <c r="Q69" s="10">
        <v>100</v>
      </c>
    </row>
    <row r="70" spans="1:17" s="9" customFormat="1" ht="12.75">
      <c r="A70" s="26" t="s">
        <v>149</v>
      </c>
      <c r="B70" s="61" t="s">
        <v>27</v>
      </c>
      <c r="C70" s="6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1"/>
    </row>
    <row r="71" spans="1:17" s="9" customFormat="1" ht="25.5" customHeight="1">
      <c r="A71" s="24" t="s">
        <v>150</v>
      </c>
      <c r="B71" s="29" t="s">
        <v>28</v>
      </c>
      <c r="C71" s="28" t="s">
        <v>16</v>
      </c>
      <c r="D71" s="10">
        <v>1240</v>
      </c>
      <c r="E71" s="10"/>
      <c r="F71" s="10">
        <v>1418.6</v>
      </c>
      <c r="G71" s="12">
        <f>F71/D71*100</f>
        <v>114.40322580645162</v>
      </c>
      <c r="H71" s="10">
        <v>2917.3</v>
      </c>
      <c r="I71" s="12">
        <f>H71/3033.6*100</f>
        <v>96.16627109704642</v>
      </c>
      <c r="J71" s="10">
        <v>80.6</v>
      </c>
      <c r="K71" s="12"/>
      <c r="L71" s="10"/>
      <c r="M71" s="12"/>
      <c r="N71" s="10">
        <v>52.2</v>
      </c>
      <c r="O71" s="46">
        <v>0.648</v>
      </c>
      <c r="P71" s="8"/>
      <c r="Q71" s="13" t="e">
        <f>P71/L71*100</f>
        <v>#DIV/0!</v>
      </c>
    </row>
    <row r="72" spans="1:17" s="9" customFormat="1" ht="48.75" customHeight="1">
      <c r="A72" s="24" t="s">
        <v>151</v>
      </c>
      <c r="B72" s="29" t="s">
        <v>68</v>
      </c>
      <c r="C72" s="28" t="s">
        <v>16</v>
      </c>
      <c r="D72" s="10">
        <v>970</v>
      </c>
      <c r="E72" s="10"/>
      <c r="F72" s="10">
        <v>1178.4</v>
      </c>
      <c r="G72" s="12">
        <f aca="true" t="shared" si="5" ref="G72:G78">F72/D72*100</f>
        <v>121.48453608247422</v>
      </c>
      <c r="H72" s="10">
        <v>2423.3</v>
      </c>
      <c r="I72" s="12">
        <f>H72/2486.3*100</f>
        <v>97.46611430639906</v>
      </c>
      <c r="J72" s="10">
        <v>75.1</v>
      </c>
      <c r="K72" s="12"/>
      <c r="L72" s="10"/>
      <c r="M72" s="12"/>
      <c r="N72" s="10">
        <v>45.1</v>
      </c>
      <c r="O72" s="46">
        <v>0.601</v>
      </c>
      <c r="P72" s="8"/>
      <c r="Q72" s="13" t="e">
        <f>P72/L72*100</f>
        <v>#DIV/0!</v>
      </c>
    </row>
    <row r="73" spans="1:17" s="9" customFormat="1" ht="21" customHeight="1">
      <c r="A73" s="24" t="s">
        <v>152</v>
      </c>
      <c r="B73" s="29" t="s">
        <v>29</v>
      </c>
      <c r="C73" s="28" t="s">
        <v>16</v>
      </c>
      <c r="D73" s="10">
        <v>1290.5</v>
      </c>
      <c r="E73" s="10"/>
      <c r="F73" s="10">
        <v>1499.1</v>
      </c>
      <c r="G73" s="12">
        <f t="shared" si="5"/>
        <v>116.16427741185586</v>
      </c>
      <c r="H73" s="10">
        <v>3205.1</v>
      </c>
      <c r="I73" s="12">
        <f>H73/2849.4*100</f>
        <v>112.48332982382254</v>
      </c>
      <c r="J73" s="10">
        <v>79.2</v>
      </c>
      <c r="K73" s="12"/>
      <c r="L73" s="10"/>
      <c r="M73" s="12"/>
      <c r="N73" s="10">
        <v>53.1</v>
      </c>
      <c r="O73" s="46">
        <v>0.671</v>
      </c>
      <c r="P73" s="8"/>
      <c r="Q73" s="13" t="e">
        <f>P73/L73*100</f>
        <v>#DIV/0!</v>
      </c>
    </row>
    <row r="74" spans="1:17" s="9" customFormat="1" ht="22.5" customHeight="1" hidden="1">
      <c r="A74" s="24" t="s">
        <v>157</v>
      </c>
      <c r="B74" s="29" t="s">
        <v>47</v>
      </c>
      <c r="C74" s="28" t="s">
        <v>16</v>
      </c>
      <c r="D74" s="10">
        <v>3.7</v>
      </c>
      <c r="E74" s="10"/>
      <c r="F74" s="10">
        <v>5.1</v>
      </c>
      <c r="G74" s="12">
        <f t="shared" si="5"/>
        <v>137.83783783783784</v>
      </c>
      <c r="H74" s="10">
        <v>44</v>
      </c>
      <c r="I74" s="12">
        <f>H74/10*100</f>
        <v>440.00000000000006</v>
      </c>
      <c r="J74" s="10"/>
      <c r="K74" s="12"/>
      <c r="L74" s="10"/>
      <c r="M74" s="12"/>
      <c r="N74" s="10"/>
      <c r="O74" s="12"/>
      <c r="P74" s="11"/>
      <c r="Q74" s="13" t="e">
        <f>P74/L74*100</f>
        <v>#DIV/0!</v>
      </c>
    </row>
    <row r="75" spans="1:17" s="9" customFormat="1" ht="22.5" customHeight="1" hidden="1">
      <c r="A75" s="24" t="s">
        <v>158</v>
      </c>
      <c r="B75" s="29" t="s">
        <v>48</v>
      </c>
      <c r="C75" s="28" t="s">
        <v>16</v>
      </c>
      <c r="D75" s="10">
        <v>985.6</v>
      </c>
      <c r="E75" s="10"/>
      <c r="F75" s="10">
        <v>1454</v>
      </c>
      <c r="G75" s="12">
        <f t="shared" si="5"/>
        <v>147.52435064935065</v>
      </c>
      <c r="H75" s="10">
        <v>1181</v>
      </c>
      <c r="I75" s="12">
        <f>H75/835*100</f>
        <v>141.437125748503</v>
      </c>
      <c r="J75" s="10"/>
      <c r="K75" s="12"/>
      <c r="L75" s="10"/>
      <c r="M75" s="12"/>
      <c r="N75" s="10"/>
      <c r="O75" s="12"/>
      <c r="P75" s="11"/>
      <c r="Q75" s="11"/>
    </row>
    <row r="76" spans="1:17" s="9" customFormat="1" ht="18.75" customHeight="1" hidden="1">
      <c r="A76" s="24" t="s">
        <v>159</v>
      </c>
      <c r="B76" s="29" t="s">
        <v>107</v>
      </c>
      <c r="C76" s="28" t="s">
        <v>16</v>
      </c>
      <c r="D76" s="10">
        <v>317.1</v>
      </c>
      <c r="E76" s="10"/>
      <c r="F76" s="10">
        <v>258.5</v>
      </c>
      <c r="G76" s="12">
        <f t="shared" si="5"/>
        <v>81.5200252286345</v>
      </c>
      <c r="H76" s="10">
        <v>282</v>
      </c>
      <c r="I76" s="12">
        <f>H76/249*100</f>
        <v>113.25301204819279</v>
      </c>
      <c r="J76" s="10"/>
      <c r="K76" s="12"/>
      <c r="L76" s="10"/>
      <c r="M76" s="12"/>
      <c r="N76" s="10"/>
      <c r="O76" s="12"/>
      <c r="P76" s="11"/>
      <c r="Q76" s="11"/>
    </row>
    <row r="77" spans="1:17" s="9" customFormat="1" ht="27" customHeight="1" hidden="1">
      <c r="A77" s="24" t="s">
        <v>160</v>
      </c>
      <c r="B77" s="29" t="s">
        <v>49</v>
      </c>
      <c r="C77" s="28" t="s">
        <v>16</v>
      </c>
      <c r="D77" s="10">
        <v>384.2</v>
      </c>
      <c r="E77" s="10"/>
      <c r="F77" s="10">
        <v>487</v>
      </c>
      <c r="G77" s="12">
        <f t="shared" si="5"/>
        <v>126.75689744924519</v>
      </c>
      <c r="H77" s="10">
        <v>755</v>
      </c>
      <c r="I77" s="12">
        <f>H77/283*100</f>
        <v>266.7844522968198</v>
      </c>
      <c r="J77" s="10"/>
      <c r="K77" s="12"/>
      <c r="L77" s="10"/>
      <c r="M77" s="12"/>
      <c r="N77" s="10"/>
      <c r="O77" s="12"/>
      <c r="P77" s="11"/>
      <c r="Q77" s="11"/>
    </row>
    <row r="78" spans="1:17" s="9" customFormat="1" ht="19.5" customHeight="1" hidden="1">
      <c r="A78" s="24" t="s">
        <v>161</v>
      </c>
      <c r="B78" s="29" t="s">
        <v>107</v>
      </c>
      <c r="C78" s="28" t="s">
        <v>16</v>
      </c>
      <c r="D78" s="10">
        <v>125.9</v>
      </c>
      <c r="E78" s="10"/>
      <c r="F78" s="10">
        <v>110.2</v>
      </c>
      <c r="G78" s="12">
        <f t="shared" si="5"/>
        <v>87.5297855440826</v>
      </c>
      <c r="H78" s="10">
        <v>138</v>
      </c>
      <c r="I78" s="12">
        <f>H78/114*100</f>
        <v>121.05263157894737</v>
      </c>
      <c r="J78" s="10"/>
      <c r="K78" s="12"/>
      <c r="L78" s="10"/>
      <c r="M78" s="12"/>
      <c r="N78" s="10"/>
      <c r="O78" s="12"/>
      <c r="P78" s="11"/>
      <c r="Q78" s="11"/>
    </row>
    <row r="79" spans="1:17" s="9" customFormat="1" ht="21.75" customHeight="1" hidden="1">
      <c r="A79" s="26" t="s">
        <v>162</v>
      </c>
      <c r="B79" s="61" t="s">
        <v>30</v>
      </c>
      <c r="C79" s="6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11"/>
    </row>
    <row r="80" spans="1:17" s="9" customFormat="1" ht="22.5" customHeight="1" hidden="1">
      <c r="A80" s="24" t="s">
        <v>163</v>
      </c>
      <c r="B80" s="29" t="s">
        <v>54</v>
      </c>
      <c r="C80" s="28" t="s">
        <v>31</v>
      </c>
      <c r="D80" s="10">
        <v>4.2</v>
      </c>
      <c r="E80" s="10"/>
      <c r="F80" s="10">
        <v>7.1</v>
      </c>
      <c r="G80" s="12">
        <f>F80/D80*100</f>
        <v>169.04761904761904</v>
      </c>
      <c r="H80" s="10">
        <v>22.2</v>
      </c>
      <c r="I80" s="12">
        <f>H80/21.6*100</f>
        <v>102.77777777777777</v>
      </c>
      <c r="J80" s="10"/>
      <c r="K80" s="12"/>
      <c r="L80" s="10"/>
      <c r="M80" s="12"/>
      <c r="N80" s="10"/>
      <c r="O80" s="19"/>
      <c r="P80" s="11"/>
      <c r="Q80" s="13" t="e">
        <f>P80/L80*100</f>
        <v>#DIV/0!</v>
      </c>
    </row>
    <row r="81" spans="1:17" s="9" customFormat="1" ht="19.5" customHeight="1" hidden="1">
      <c r="A81" s="24" t="s">
        <v>164</v>
      </c>
      <c r="B81" s="29" t="s">
        <v>32</v>
      </c>
      <c r="C81" s="28" t="s">
        <v>33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/>
      <c r="Q81" s="11"/>
    </row>
    <row r="82" spans="1:17" s="9" customFormat="1" ht="21.75" customHeight="1" hidden="1">
      <c r="A82" s="24" t="s">
        <v>165</v>
      </c>
      <c r="B82" s="29" t="s">
        <v>34</v>
      </c>
      <c r="C82" s="28" t="s">
        <v>35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/>
      <c r="Q82" s="11"/>
    </row>
    <row r="83" spans="1:17" s="9" customFormat="1" ht="18.75" customHeight="1" hidden="1">
      <c r="A83" s="24" t="s">
        <v>166</v>
      </c>
      <c r="B83" s="29" t="s">
        <v>36</v>
      </c>
      <c r="C83" s="28" t="s">
        <v>37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1"/>
      <c r="Q83" s="11"/>
    </row>
    <row r="84" spans="1:17" s="9" customFormat="1" ht="19.5" customHeight="1" hidden="1">
      <c r="A84" s="24" t="s">
        <v>167</v>
      </c>
      <c r="B84" s="29" t="s">
        <v>38</v>
      </c>
      <c r="C84" s="28" t="s">
        <v>39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1"/>
      <c r="Q84" s="11"/>
    </row>
    <row r="85" spans="1:17" s="9" customFormat="1" ht="21.75" customHeight="1" hidden="1">
      <c r="A85" s="26" t="s">
        <v>168</v>
      </c>
      <c r="B85" s="61" t="s">
        <v>76</v>
      </c>
      <c r="C85" s="6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1"/>
      <c r="Q85" s="11"/>
    </row>
    <row r="86" spans="1:17" s="9" customFormat="1" ht="35.25" customHeight="1" hidden="1">
      <c r="A86" s="24" t="s">
        <v>169</v>
      </c>
      <c r="B86" s="29" t="s">
        <v>86</v>
      </c>
      <c r="C86" s="28" t="s">
        <v>55</v>
      </c>
      <c r="D86" s="10">
        <v>7</v>
      </c>
      <c r="E86" s="10">
        <v>67</v>
      </c>
      <c r="F86" s="10">
        <v>10</v>
      </c>
      <c r="G86" s="10">
        <v>100</v>
      </c>
      <c r="H86" s="10">
        <v>10</v>
      </c>
      <c r="I86" s="10">
        <v>67</v>
      </c>
      <c r="J86" s="10"/>
      <c r="K86" s="10"/>
      <c r="L86" s="10"/>
      <c r="M86" s="10"/>
      <c r="N86" s="10"/>
      <c r="O86" s="10"/>
      <c r="P86" s="11"/>
      <c r="Q86" s="11">
        <v>150</v>
      </c>
    </row>
    <row r="87" spans="1:17" s="9" customFormat="1" ht="30" customHeight="1" hidden="1">
      <c r="A87" s="24" t="s">
        <v>170</v>
      </c>
      <c r="B87" s="40" t="s">
        <v>87</v>
      </c>
      <c r="C87" s="28" t="s">
        <v>55</v>
      </c>
      <c r="D87" s="10"/>
      <c r="E87" s="10"/>
      <c r="F87" s="10">
        <v>2</v>
      </c>
      <c r="G87" s="10">
        <v>100</v>
      </c>
      <c r="H87" s="10">
        <v>2</v>
      </c>
      <c r="I87" s="10">
        <v>100</v>
      </c>
      <c r="J87" s="10"/>
      <c r="K87" s="10"/>
      <c r="L87" s="10"/>
      <c r="M87" s="10"/>
      <c r="N87" s="10"/>
      <c r="O87" s="10"/>
      <c r="P87" s="11"/>
      <c r="Q87" s="11">
        <v>300</v>
      </c>
    </row>
    <row r="88" spans="1:17" s="9" customFormat="1" ht="27.75" customHeight="1" hidden="1">
      <c r="A88" s="24" t="s">
        <v>171</v>
      </c>
      <c r="B88" s="41" t="s">
        <v>89</v>
      </c>
      <c r="C88" s="28" t="s">
        <v>55</v>
      </c>
      <c r="D88" s="10"/>
      <c r="E88" s="10"/>
      <c r="F88" s="10">
        <v>1</v>
      </c>
      <c r="G88" s="10">
        <v>100</v>
      </c>
      <c r="H88" s="10">
        <v>1</v>
      </c>
      <c r="I88" s="10">
        <v>100</v>
      </c>
      <c r="J88" s="10"/>
      <c r="K88" s="10"/>
      <c r="L88" s="10"/>
      <c r="M88" s="10"/>
      <c r="N88" s="10"/>
      <c r="O88" s="10"/>
      <c r="P88" s="11"/>
      <c r="Q88" s="11">
        <v>500</v>
      </c>
    </row>
    <row r="89" spans="1:17" s="9" customFormat="1" ht="33" customHeight="1" hidden="1">
      <c r="A89" s="24" t="s">
        <v>172</v>
      </c>
      <c r="B89" s="42" t="s">
        <v>88</v>
      </c>
      <c r="C89" s="28" t="s">
        <v>55</v>
      </c>
      <c r="D89" s="10"/>
      <c r="E89" s="10"/>
      <c r="F89" s="10">
        <v>8</v>
      </c>
      <c r="G89" s="10">
        <v>62</v>
      </c>
      <c r="H89" s="10">
        <v>8</v>
      </c>
      <c r="I89" s="10">
        <v>62</v>
      </c>
      <c r="J89" s="10"/>
      <c r="K89" s="10"/>
      <c r="L89" s="10"/>
      <c r="M89" s="10"/>
      <c r="N89" s="10"/>
      <c r="O89" s="10"/>
      <c r="P89" s="11"/>
      <c r="Q89" s="11">
        <v>120</v>
      </c>
    </row>
    <row r="90" spans="1:17" s="9" customFormat="1" ht="29.25" customHeight="1" hidden="1">
      <c r="A90" s="24" t="s">
        <v>173</v>
      </c>
      <c r="B90" s="41" t="s">
        <v>89</v>
      </c>
      <c r="C90" s="28" t="s">
        <v>55</v>
      </c>
      <c r="D90" s="10"/>
      <c r="E90" s="10"/>
      <c r="F90" s="10">
        <v>0</v>
      </c>
      <c r="G90" s="10" t="s">
        <v>91</v>
      </c>
      <c r="H90" s="10">
        <v>0</v>
      </c>
      <c r="I90" s="10" t="s">
        <v>91</v>
      </c>
      <c r="J90" s="10"/>
      <c r="K90" s="10"/>
      <c r="L90" s="10"/>
      <c r="M90" s="10"/>
      <c r="N90" s="10"/>
      <c r="O90" s="10"/>
      <c r="P90" s="11"/>
      <c r="Q90" s="11">
        <v>200</v>
      </c>
    </row>
    <row r="91" spans="1:17" s="9" customFormat="1" ht="36.75" customHeight="1" hidden="1">
      <c r="A91" s="24" t="s">
        <v>174</v>
      </c>
      <c r="B91" s="29" t="s">
        <v>56</v>
      </c>
      <c r="C91" s="28" t="s">
        <v>6</v>
      </c>
      <c r="D91" s="10"/>
      <c r="E91" s="10" t="s">
        <v>91</v>
      </c>
      <c r="F91" s="10">
        <v>99.7</v>
      </c>
      <c r="G91" s="10" t="s">
        <v>91</v>
      </c>
      <c r="H91" s="10">
        <v>99.7</v>
      </c>
      <c r="I91" s="10">
        <v>102</v>
      </c>
      <c r="J91" s="10"/>
      <c r="K91" s="10"/>
      <c r="L91" s="10"/>
      <c r="M91" s="10"/>
      <c r="N91" s="10"/>
      <c r="O91" s="10"/>
      <c r="P91" s="11"/>
      <c r="Q91" s="11">
        <v>101.1</v>
      </c>
    </row>
    <row r="92" spans="1:17" s="9" customFormat="1" ht="21.75" customHeight="1" hidden="1">
      <c r="A92" s="24" t="s">
        <v>175</v>
      </c>
      <c r="B92" s="29" t="s">
        <v>57</v>
      </c>
      <c r="C92" s="28" t="s">
        <v>2</v>
      </c>
      <c r="D92" s="10"/>
      <c r="E92" s="10"/>
      <c r="F92" s="10">
        <v>71.628</v>
      </c>
      <c r="G92" s="10">
        <v>96.7</v>
      </c>
      <c r="H92" s="10">
        <v>69.144</v>
      </c>
      <c r="I92" s="10">
        <v>87</v>
      </c>
      <c r="J92" s="10"/>
      <c r="K92" s="10"/>
      <c r="L92" s="10"/>
      <c r="M92" s="10"/>
      <c r="N92" s="10"/>
      <c r="O92" s="10"/>
      <c r="P92" s="11"/>
      <c r="Q92" s="11">
        <v>115.1</v>
      </c>
    </row>
    <row r="93" spans="1:17" s="9" customFormat="1" ht="39.75" customHeight="1" hidden="1">
      <c r="A93" s="24" t="s">
        <v>176</v>
      </c>
      <c r="B93" s="29" t="s">
        <v>58</v>
      </c>
      <c r="C93" s="28" t="s">
        <v>6</v>
      </c>
      <c r="D93" s="10"/>
      <c r="E93" s="10" t="s">
        <v>91</v>
      </c>
      <c r="F93" s="10">
        <v>52</v>
      </c>
      <c r="G93" s="10" t="s">
        <v>91</v>
      </c>
      <c r="H93" s="10">
        <v>55.7</v>
      </c>
      <c r="I93" s="10">
        <v>139</v>
      </c>
      <c r="J93" s="10"/>
      <c r="K93" s="10"/>
      <c r="L93" s="10"/>
      <c r="M93" s="10"/>
      <c r="N93" s="10"/>
      <c r="O93" s="10"/>
      <c r="P93" s="11"/>
      <c r="Q93" s="11">
        <v>128.3</v>
      </c>
    </row>
    <row r="94" spans="1:17" s="9" customFormat="1" ht="37.5" customHeight="1" hidden="1">
      <c r="A94" s="24" t="s">
        <v>177</v>
      </c>
      <c r="B94" s="40" t="s">
        <v>69</v>
      </c>
      <c r="C94" s="28" t="s">
        <v>2</v>
      </c>
      <c r="D94" s="10"/>
      <c r="E94" s="10"/>
      <c r="F94" s="10">
        <v>10</v>
      </c>
      <c r="G94" s="10">
        <v>90.9</v>
      </c>
      <c r="H94" s="10">
        <v>16.892</v>
      </c>
      <c r="I94" s="10">
        <v>83</v>
      </c>
      <c r="J94" s="10"/>
      <c r="K94" s="10"/>
      <c r="L94" s="10"/>
      <c r="M94" s="10"/>
      <c r="N94" s="10"/>
      <c r="O94" s="10"/>
      <c r="P94" s="11"/>
      <c r="Q94" s="11">
        <v>106.9</v>
      </c>
    </row>
    <row r="95" spans="1:17" s="9" customFormat="1" ht="51" customHeight="1" hidden="1">
      <c r="A95" s="24" t="s">
        <v>178</v>
      </c>
      <c r="B95" s="43" t="s">
        <v>96</v>
      </c>
      <c r="C95" s="28" t="s">
        <v>6</v>
      </c>
      <c r="D95" s="10"/>
      <c r="E95" s="10"/>
      <c r="F95" s="10">
        <v>99.8</v>
      </c>
      <c r="G95" s="10" t="s">
        <v>91</v>
      </c>
      <c r="H95" s="10">
        <v>99.5</v>
      </c>
      <c r="I95" s="10">
        <v>101</v>
      </c>
      <c r="J95" s="10"/>
      <c r="K95" s="10"/>
      <c r="L95" s="10"/>
      <c r="M95" s="10"/>
      <c r="N95" s="10"/>
      <c r="O95" s="10"/>
      <c r="P95" s="11"/>
      <c r="Q95" s="11">
        <v>99.2</v>
      </c>
    </row>
    <row r="96" spans="1:17" s="9" customFormat="1" ht="54.75" customHeight="1" hidden="1">
      <c r="A96" s="24" t="s">
        <v>179</v>
      </c>
      <c r="B96" s="43" t="s">
        <v>104</v>
      </c>
      <c r="C96" s="28" t="s">
        <v>55</v>
      </c>
      <c r="D96" s="10"/>
      <c r="E96" s="10"/>
      <c r="F96" s="10">
        <v>906</v>
      </c>
      <c r="G96" s="10" t="s">
        <v>91</v>
      </c>
      <c r="H96" s="10">
        <v>1025</v>
      </c>
      <c r="I96" s="10">
        <v>96</v>
      </c>
      <c r="J96" s="10"/>
      <c r="K96" s="10"/>
      <c r="L96" s="10"/>
      <c r="M96" s="10"/>
      <c r="N96" s="10"/>
      <c r="O96" s="10"/>
      <c r="P96" s="11"/>
      <c r="Q96" s="11">
        <v>101.5</v>
      </c>
    </row>
    <row r="97" spans="1:17" s="9" customFormat="1" ht="75" customHeight="1" hidden="1">
      <c r="A97" s="24" t="s">
        <v>180</v>
      </c>
      <c r="B97" s="43" t="s">
        <v>105</v>
      </c>
      <c r="C97" s="28" t="s">
        <v>85</v>
      </c>
      <c r="D97" s="10"/>
      <c r="E97" s="10"/>
      <c r="F97" s="10">
        <v>2627</v>
      </c>
      <c r="G97" s="10" t="s">
        <v>91</v>
      </c>
      <c r="H97" s="10">
        <v>2973</v>
      </c>
      <c r="I97" s="10">
        <v>96.2</v>
      </c>
      <c r="J97" s="10"/>
      <c r="K97" s="10"/>
      <c r="L97" s="10"/>
      <c r="M97" s="10"/>
      <c r="N97" s="10"/>
      <c r="O97" s="10"/>
      <c r="P97" s="11"/>
      <c r="Q97" s="11">
        <v>101.5</v>
      </c>
    </row>
    <row r="98" spans="1:17" s="22" customFormat="1" ht="87" customHeight="1" hidden="1">
      <c r="A98" s="24" t="s">
        <v>181</v>
      </c>
      <c r="B98" s="29" t="s">
        <v>97</v>
      </c>
      <c r="C98" s="28" t="s">
        <v>6</v>
      </c>
      <c r="D98" s="20"/>
      <c r="E98" s="20"/>
      <c r="F98" s="20"/>
      <c r="G98" s="10" t="s">
        <v>91</v>
      </c>
      <c r="H98" s="10"/>
      <c r="I98" s="10"/>
      <c r="J98" s="10"/>
      <c r="K98" s="10"/>
      <c r="L98" s="10"/>
      <c r="M98" s="10"/>
      <c r="N98" s="10"/>
      <c r="O98" s="10"/>
      <c r="P98" s="11"/>
      <c r="Q98" s="21"/>
    </row>
    <row r="99" spans="1:17" s="22" customFormat="1" ht="36" customHeight="1" hidden="1">
      <c r="A99" s="24" t="s">
        <v>182</v>
      </c>
      <c r="B99" s="29" t="s">
        <v>98</v>
      </c>
      <c r="C99" s="28" t="s">
        <v>6</v>
      </c>
      <c r="D99" s="20"/>
      <c r="E99" s="20"/>
      <c r="F99" s="20">
        <v>37.3</v>
      </c>
      <c r="G99" s="10" t="s">
        <v>91</v>
      </c>
      <c r="H99" s="10">
        <v>37.3</v>
      </c>
      <c r="I99" s="10">
        <v>89.4</v>
      </c>
      <c r="J99" s="10"/>
      <c r="K99" s="10"/>
      <c r="L99" s="10"/>
      <c r="M99" s="10"/>
      <c r="N99" s="10"/>
      <c r="O99" s="10"/>
      <c r="P99" s="11"/>
      <c r="Q99" s="11">
        <v>98.9</v>
      </c>
    </row>
    <row r="100" spans="1:17" s="22" customFormat="1" ht="39.75" customHeight="1" hidden="1">
      <c r="A100" s="24" t="s">
        <v>183</v>
      </c>
      <c r="B100" s="29" t="s">
        <v>99</v>
      </c>
      <c r="C100" s="28" t="s">
        <v>6</v>
      </c>
      <c r="D100" s="20"/>
      <c r="E100" s="20"/>
      <c r="F100" s="20">
        <v>31</v>
      </c>
      <c r="G100" s="10" t="s">
        <v>91</v>
      </c>
      <c r="H100" s="10">
        <v>31</v>
      </c>
      <c r="I100" s="10">
        <v>100</v>
      </c>
      <c r="J100" s="10"/>
      <c r="K100" s="10"/>
      <c r="L100" s="10"/>
      <c r="M100" s="10"/>
      <c r="N100" s="10"/>
      <c r="O100" s="10"/>
      <c r="P100" s="11"/>
      <c r="Q100" s="11">
        <v>107</v>
      </c>
    </row>
    <row r="101" spans="1:17" s="22" customFormat="1" ht="33.75" customHeight="1" hidden="1">
      <c r="A101" s="24" t="s">
        <v>184</v>
      </c>
      <c r="B101" s="29" t="s">
        <v>100</v>
      </c>
      <c r="C101" s="28" t="s">
        <v>6</v>
      </c>
      <c r="D101" s="20"/>
      <c r="E101" s="20"/>
      <c r="F101" s="20">
        <v>33.7</v>
      </c>
      <c r="G101" s="10" t="s">
        <v>91</v>
      </c>
      <c r="H101" s="10">
        <v>33.7</v>
      </c>
      <c r="I101" s="10">
        <v>96.6</v>
      </c>
      <c r="J101" s="10"/>
      <c r="K101" s="10"/>
      <c r="L101" s="10"/>
      <c r="M101" s="10"/>
      <c r="N101" s="10"/>
      <c r="O101" s="10"/>
      <c r="P101" s="11"/>
      <c r="Q101" s="11">
        <v>104</v>
      </c>
    </row>
    <row r="102" spans="1:17" s="22" customFormat="1" ht="38.25" customHeight="1" hidden="1">
      <c r="A102" s="24" t="s">
        <v>185</v>
      </c>
      <c r="B102" s="29" t="s">
        <v>101</v>
      </c>
      <c r="C102" s="28" t="s">
        <v>6</v>
      </c>
      <c r="D102" s="20"/>
      <c r="E102" s="20"/>
      <c r="F102" s="20">
        <v>15.4</v>
      </c>
      <c r="G102" s="10" t="s">
        <v>91</v>
      </c>
      <c r="H102" s="10">
        <v>15.4</v>
      </c>
      <c r="I102" s="10">
        <v>97.2</v>
      </c>
      <c r="J102" s="10"/>
      <c r="K102" s="10"/>
      <c r="L102" s="10"/>
      <c r="M102" s="10"/>
      <c r="N102" s="10"/>
      <c r="O102" s="10"/>
      <c r="P102" s="11"/>
      <c r="Q102" s="11">
        <v>96.4</v>
      </c>
    </row>
    <row r="103" spans="1:17" s="22" customFormat="1" ht="25.5" customHeight="1" hidden="1">
      <c r="A103" s="24" t="s">
        <v>186</v>
      </c>
      <c r="B103" s="29" t="s">
        <v>102</v>
      </c>
      <c r="C103" s="28" t="s">
        <v>6</v>
      </c>
      <c r="D103" s="20"/>
      <c r="E103" s="20"/>
      <c r="F103" s="20">
        <v>14.7</v>
      </c>
      <c r="G103" s="10" t="s">
        <v>91</v>
      </c>
      <c r="H103" s="10">
        <v>14.7</v>
      </c>
      <c r="I103" s="10">
        <v>97.2</v>
      </c>
      <c r="J103" s="10"/>
      <c r="K103" s="10"/>
      <c r="L103" s="10"/>
      <c r="M103" s="10"/>
      <c r="N103" s="10"/>
      <c r="O103" s="10"/>
      <c r="P103" s="11"/>
      <c r="Q103" s="11">
        <v>96.4</v>
      </c>
    </row>
    <row r="104" spans="1:17" s="22" customFormat="1" ht="39.75" customHeight="1" hidden="1">
      <c r="A104" s="24" t="s">
        <v>187</v>
      </c>
      <c r="B104" s="29" t="s">
        <v>106</v>
      </c>
      <c r="C104" s="28" t="s">
        <v>6</v>
      </c>
      <c r="D104" s="20"/>
      <c r="E104" s="20"/>
      <c r="F104" s="20">
        <v>2.68</v>
      </c>
      <c r="G104" s="10" t="s">
        <v>91</v>
      </c>
      <c r="H104" s="10">
        <v>2.68</v>
      </c>
      <c r="I104" s="10">
        <v>95.73</v>
      </c>
      <c r="J104" s="10"/>
      <c r="K104" s="10"/>
      <c r="L104" s="10"/>
      <c r="M104" s="10"/>
      <c r="N104" s="10"/>
      <c r="O104" s="10"/>
      <c r="P104" s="11"/>
      <c r="Q104" s="11">
        <v>100</v>
      </c>
    </row>
    <row r="105" spans="1:17" s="22" customFormat="1" ht="38.25" customHeight="1" hidden="1">
      <c r="A105" s="24" t="s">
        <v>188</v>
      </c>
      <c r="B105" s="29" t="s">
        <v>103</v>
      </c>
      <c r="C105" s="28" t="s">
        <v>6</v>
      </c>
      <c r="D105" s="20"/>
      <c r="E105" s="20"/>
      <c r="F105" s="20">
        <v>14.4</v>
      </c>
      <c r="G105" s="10" t="s">
        <v>91</v>
      </c>
      <c r="H105" s="10">
        <v>14.7</v>
      </c>
      <c r="I105" s="10">
        <v>99.1</v>
      </c>
      <c r="J105" s="10"/>
      <c r="K105" s="10"/>
      <c r="L105" s="10"/>
      <c r="M105" s="10"/>
      <c r="N105" s="10"/>
      <c r="O105" s="10"/>
      <c r="P105" s="11"/>
      <c r="Q105" s="11">
        <v>101.3</v>
      </c>
    </row>
    <row r="106" spans="1:17" s="9" customFormat="1" ht="22.5" customHeight="1">
      <c r="A106" s="26" t="s">
        <v>153</v>
      </c>
      <c r="B106" s="68" t="s">
        <v>40</v>
      </c>
      <c r="C106" s="69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4"/>
      <c r="Q106" s="11"/>
    </row>
    <row r="107" spans="1:18" s="9" customFormat="1" ht="54" customHeight="1">
      <c r="A107" s="24" t="s">
        <v>154</v>
      </c>
      <c r="B107" s="29" t="s">
        <v>50</v>
      </c>
      <c r="C107" s="28" t="s">
        <v>41</v>
      </c>
      <c r="D107" s="10">
        <v>23123</v>
      </c>
      <c r="E107" s="10"/>
      <c r="F107" s="10">
        <v>27105</v>
      </c>
      <c r="G107" s="12">
        <f>F107/D107*100</f>
        <v>117.22094883881849</v>
      </c>
      <c r="H107" s="10">
        <v>27741</v>
      </c>
      <c r="I107" s="12">
        <f>H107/24733*100</f>
        <v>112.16188897424493</v>
      </c>
      <c r="J107" s="10">
        <v>14830</v>
      </c>
      <c r="K107" s="12"/>
      <c r="L107" s="10"/>
      <c r="M107" s="12"/>
      <c r="N107" s="10">
        <v>15423</v>
      </c>
      <c r="O107" s="46">
        <v>1.04</v>
      </c>
      <c r="P107" s="8"/>
      <c r="Q107" s="13" t="e">
        <f>P107/L107*100</f>
        <v>#DIV/0!</v>
      </c>
      <c r="R107" s="58"/>
    </row>
    <row r="108" spans="1:18" s="9" customFormat="1" ht="22.5" customHeight="1">
      <c r="A108" s="24" t="s">
        <v>155</v>
      </c>
      <c r="B108" s="29" t="s">
        <v>42</v>
      </c>
      <c r="C108" s="28" t="s">
        <v>41</v>
      </c>
      <c r="D108" s="10">
        <v>10736</v>
      </c>
      <c r="E108" s="10"/>
      <c r="F108" s="10">
        <v>11893</v>
      </c>
      <c r="G108" s="12">
        <f>F108/D108*100</f>
        <v>110.776825633383</v>
      </c>
      <c r="H108" s="10">
        <v>14572</v>
      </c>
      <c r="I108" s="12">
        <f>H108/12267*100</f>
        <v>118.79025026493846</v>
      </c>
      <c r="J108" s="10">
        <v>9070</v>
      </c>
      <c r="K108" s="12"/>
      <c r="L108" s="10"/>
      <c r="M108" s="12"/>
      <c r="N108" s="10">
        <v>9496</v>
      </c>
      <c r="O108" s="46">
        <v>1.047</v>
      </c>
      <c r="P108" s="8"/>
      <c r="Q108" s="13" t="e">
        <f aca="true" t="shared" si="6" ref="Q108:Q114">P108/L108*100</f>
        <v>#DIV/0!</v>
      </c>
      <c r="R108" s="58"/>
    </row>
    <row r="109" spans="1:18" s="9" customFormat="1" ht="19.5" customHeight="1">
      <c r="A109" s="24" t="s">
        <v>156</v>
      </c>
      <c r="B109" s="29" t="s">
        <v>43</v>
      </c>
      <c r="C109" s="28" t="s">
        <v>41</v>
      </c>
      <c r="D109" s="10">
        <v>8326</v>
      </c>
      <c r="E109" s="10"/>
      <c r="F109" s="10">
        <v>8977</v>
      </c>
      <c r="G109" s="12">
        <f>F109/D109*100</f>
        <v>107.81888061494114</v>
      </c>
      <c r="H109" s="10">
        <v>7917</v>
      </c>
      <c r="I109" s="12">
        <f>H109/8422*100</f>
        <v>94.00379957254809</v>
      </c>
      <c r="J109" s="10">
        <v>9040</v>
      </c>
      <c r="K109" s="12"/>
      <c r="L109" s="10"/>
      <c r="M109" s="12"/>
      <c r="N109" s="10">
        <v>9311</v>
      </c>
      <c r="O109" s="46">
        <v>1.03</v>
      </c>
      <c r="P109" s="8"/>
      <c r="Q109" s="13" t="e">
        <f t="shared" si="6"/>
        <v>#DIV/0!</v>
      </c>
      <c r="R109" s="58"/>
    </row>
    <row r="110" spans="1:17" s="9" customFormat="1" ht="34.5" customHeight="1">
      <c r="A110" s="24" t="s">
        <v>157</v>
      </c>
      <c r="B110" s="29" t="s">
        <v>51</v>
      </c>
      <c r="C110" s="28" t="s">
        <v>6</v>
      </c>
      <c r="D110" s="10">
        <v>96</v>
      </c>
      <c r="E110" s="10" t="s">
        <v>91</v>
      </c>
      <c r="F110" s="10">
        <v>94</v>
      </c>
      <c r="G110" s="10" t="s">
        <v>91</v>
      </c>
      <c r="H110" s="10">
        <v>102.2</v>
      </c>
      <c r="I110" s="12">
        <f>H110/101.1*100</f>
        <v>101.0880316518299</v>
      </c>
      <c r="J110" s="46">
        <v>0.997</v>
      </c>
      <c r="K110" s="46"/>
      <c r="L110" s="46"/>
      <c r="M110" s="46"/>
      <c r="N110" s="46">
        <v>0.981</v>
      </c>
      <c r="O110" s="10"/>
      <c r="P110" s="11"/>
      <c r="Q110" s="13" t="e">
        <f t="shared" si="6"/>
        <v>#DIV/0!</v>
      </c>
    </row>
    <row r="111" spans="1:18" s="9" customFormat="1" ht="32.25" customHeight="1">
      <c r="A111" s="24" t="s">
        <v>158</v>
      </c>
      <c r="B111" s="29" t="s">
        <v>44</v>
      </c>
      <c r="C111" s="28" t="s">
        <v>41</v>
      </c>
      <c r="D111" s="10">
        <v>7346</v>
      </c>
      <c r="E111" s="10"/>
      <c r="F111" s="10">
        <v>9329</v>
      </c>
      <c r="G111" s="12">
        <f>F111/D111*100</f>
        <v>126.99428260277703</v>
      </c>
      <c r="H111" s="10">
        <v>9929</v>
      </c>
      <c r="I111" s="12">
        <f>H111/8676*100</f>
        <v>114.44213923467035</v>
      </c>
      <c r="J111" s="10">
        <v>10148</v>
      </c>
      <c r="K111" s="12"/>
      <c r="L111" s="10"/>
      <c r="M111" s="12"/>
      <c r="N111" s="10">
        <v>10981</v>
      </c>
      <c r="O111" s="12">
        <v>108.2</v>
      </c>
      <c r="P111" s="8"/>
      <c r="Q111" s="13" t="e">
        <f t="shared" si="6"/>
        <v>#DIV/0!</v>
      </c>
      <c r="R111" s="58"/>
    </row>
    <row r="112" spans="1:17" s="9" customFormat="1" ht="40.5" customHeight="1">
      <c r="A112" s="24" t="s">
        <v>160</v>
      </c>
      <c r="B112" s="29" t="s">
        <v>45</v>
      </c>
      <c r="C112" s="28" t="s">
        <v>6</v>
      </c>
      <c r="D112" s="10">
        <v>117</v>
      </c>
      <c r="E112" s="10" t="s">
        <v>91</v>
      </c>
      <c r="F112" s="10">
        <v>127</v>
      </c>
      <c r="G112" s="10" t="s">
        <v>91</v>
      </c>
      <c r="H112" s="10">
        <v>141.5</v>
      </c>
      <c r="I112" s="12">
        <f>H112/132*100</f>
        <v>107.1969696969697</v>
      </c>
      <c r="J112" s="10">
        <v>96.8</v>
      </c>
      <c r="K112" s="10"/>
      <c r="L112" s="10"/>
      <c r="M112" s="12"/>
      <c r="N112" s="10">
        <v>96.8</v>
      </c>
      <c r="O112" s="10"/>
      <c r="P112" s="11"/>
      <c r="Q112" s="13" t="e">
        <f t="shared" si="6"/>
        <v>#DIV/0!</v>
      </c>
    </row>
    <row r="113" spans="1:18" s="9" customFormat="1" ht="24.75" customHeight="1">
      <c r="A113" s="24" t="s">
        <v>202</v>
      </c>
      <c r="B113" s="29" t="s">
        <v>82</v>
      </c>
      <c r="C113" s="28" t="s">
        <v>46</v>
      </c>
      <c r="D113" s="10">
        <v>45.1</v>
      </c>
      <c r="E113" s="10"/>
      <c r="F113" s="10">
        <v>46.8</v>
      </c>
      <c r="G113" s="12">
        <f>F113/D113*100</f>
        <v>103.76940133037694</v>
      </c>
      <c r="H113" s="10">
        <v>57.7</v>
      </c>
      <c r="I113" s="12">
        <f>H113/78.9*100</f>
        <v>73.13054499366287</v>
      </c>
      <c r="J113" s="10">
        <v>18.9</v>
      </c>
      <c r="K113" s="12"/>
      <c r="L113" s="10"/>
      <c r="M113" s="12"/>
      <c r="N113" s="10">
        <v>19.1</v>
      </c>
      <c r="O113" s="46">
        <v>1.011</v>
      </c>
      <c r="P113" s="8"/>
      <c r="Q113" s="13" t="e">
        <f t="shared" si="6"/>
        <v>#DIV/0!</v>
      </c>
      <c r="R113" s="58"/>
    </row>
    <row r="114" spans="1:18" s="9" customFormat="1" ht="23.25" customHeight="1">
      <c r="A114" s="24" t="s">
        <v>203</v>
      </c>
      <c r="B114" s="29" t="s">
        <v>83</v>
      </c>
      <c r="C114" s="28" t="s">
        <v>46</v>
      </c>
      <c r="D114" s="10">
        <v>4.9</v>
      </c>
      <c r="E114" s="10"/>
      <c r="F114" s="10">
        <v>4.7</v>
      </c>
      <c r="G114" s="12">
        <f>F114/D114*100</f>
        <v>95.91836734693877</v>
      </c>
      <c r="H114" s="10">
        <v>12.4</v>
      </c>
      <c r="I114" s="12">
        <f>H114/9.7*100</f>
        <v>127.83505154639177</v>
      </c>
      <c r="J114" s="10">
        <v>13.7</v>
      </c>
      <c r="K114" s="12"/>
      <c r="L114" s="10"/>
      <c r="M114" s="12"/>
      <c r="N114" s="10">
        <v>15</v>
      </c>
      <c r="O114" s="46">
        <v>1.095</v>
      </c>
      <c r="P114" s="8"/>
      <c r="Q114" s="13" t="e">
        <f t="shared" si="6"/>
        <v>#DIV/0!</v>
      </c>
      <c r="R114" s="58"/>
    </row>
    <row r="115" spans="2:15" ht="17.25" customHeight="1">
      <c r="B115" s="5"/>
      <c r="C115" s="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2:15" ht="12.75" customHeight="1" hidden="1">
      <c r="B116" s="5"/>
      <c r="C116" s="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ht="12.75">
      <c r="B117" s="4"/>
    </row>
    <row r="118" ht="15">
      <c r="B118" s="2"/>
    </row>
    <row r="119" ht="15">
      <c r="B119" s="2"/>
    </row>
    <row r="121" spans="1:2" ht="12.75">
      <c r="A121" s="44" t="s">
        <v>226</v>
      </c>
      <c r="B121" s="45"/>
    </row>
    <row r="122" spans="1:2" ht="12.75">
      <c r="A122" s="44" t="s">
        <v>204</v>
      </c>
      <c r="B122" s="44"/>
    </row>
  </sheetData>
  <sheetProtection/>
  <mergeCells count="20">
    <mergeCell ref="N34:P34"/>
    <mergeCell ref="B85:C85"/>
    <mergeCell ref="B106:C106"/>
    <mergeCell ref="B43:C43"/>
    <mergeCell ref="B47:C47"/>
    <mergeCell ref="B61:C61"/>
    <mergeCell ref="B65:C65"/>
    <mergeCell ref="B51:C51"/>
    <mergeCell ref="B70:C70"/>
    <mergeCell ref="B79:C79"/>
    <mergeCell ref="B39:C39"/>
    <mergeCell ref="B14:C14"/>
    <mergeCell ref="B1:O1"/>
    <mergeCell ref="B2:O2"/>
    <mergeCell ref="B4:C4"/>
    <mergeCell ref="B8:C8"/>
    <mergeCell ref="B35:C35"/>
    <mergeCell ref="B27:C27"/>
    <mergeCell ref="N32:P32"/>
    <mergeCell ref="N33:P33"/>
  </mergeCells>
  <printOptions/>
  <pageMargins left="0.31496062992125984" right="0.35433070866141736" top="0.3937007874015748" bottom="0.3937007874015748" header="0.5118110236220472" footer="0.5118110236220472"/>
  <pageSetup fitToHeight="3" fitToWidth="1" horizontalDpi="600" verticalDpi="600" orientation="portrait" paperSize="9" scale="66" r:id="rId1"/>
  <rowBreaks count="4" manualBreakCount="4">
    <brk id="26" max="255" man="1"/>
    <brk id="50" max="255" man="1"/>
    <brk id="78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2014-10-22T04:16:11Z</cp:lastPrinted>
  <dcterms:created xsi:type="dcterms:W3CDTF">2007-04-10T02:31:52Z</dcterms:created>
  <dcterms:modified xsi:type="dcterms:W3CDTF">2015-01-23T11:06:38Z</dcterms:modified>
  <cp:category/>
  <cp:version/>
  <cp:contentType/>
  <cp:contentStatus/>
</cp:coreProperties>
</file>