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р4" sheetId="1" r:id="rId1"/>
    <sheet name="Пр3" sheetId="2" r:id="rId2"/>
    <sheet name="Пр2" sheetId="3" r:id="rId3"/>
    <sheet name="Пр 1" sheetId="4" r:id="rId4"/>
  </sheets>
  <definedNames>
    <definedName name="__bookmark_1">'Пр 1'!#REF!</definedName>
    <definedName name="__bookmark_2">'Пр 1'!$B$9:$B$36</definedName>
    <definedName name="__bookmark_4">#REF!</definedName>
    <definedName name="__bookmark_5">'Пр4'!$A$6:$C$10</definedName>
    <definedName name="__bookmark_6">'Пр4'!#REF!</definedName>
    <definedName name="_xlnm._FilterDatabase" localSheetId="2" hidden="1">'Пр2'!$A$11:$F$275</definedName>
    <definedName name="_xlnm._FilterDatabase" localSheetId="1" hidden="1">'Пр3'!$A$10:$L$39</definedName>
    <definedName name="_xlnm.Print_Titles" localSheetId="3">'Пр 1'!$9:$11</definedName>
    <definedName name="_xlnm.Print_Titles" localSheetId="0">'Пр4'!$6:$7</definedName>
  </definedNames>
  <calcPr fullCalcOnLoad="1"/>
</workbook>
</file>

<file path=xl/sharedStrings.xml><?xml version="1.0" encoding="utf-8"?>
<sst xmlns="http://schemas.openxmlformats.org/spreadsheetml/2006/main" count="1956" uniqueCount="368">
  <si>
    <t>1</t>
  </si>
  <si>
    <t>4</t>
  </si>
  <si>
    <t>Иные 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</si>
  <si>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</si>
  <si>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</si>
  <si>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</si>
  <si>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</si>
  <si>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</si>
  <si>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</si>
  <si>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</si>
  <si>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</si>
  <si>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</si>
  <si>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</si>
  <si>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</si>
  <si>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</si>
  <si>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</si>
  <si>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</si>
  <si>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</si>
  <si>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</si>
  <si>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</si>
  <si>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</si>
  <si>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</si>
  <si>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</si>
  <si>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</si>
  <si>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</si>
  <si>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</si>
  <si>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</si>
  <si>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</si>
  <si>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</si>
  <si>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</si>
  <si>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</si>
  <si>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</si>
  <si>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</si>
  <si>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ФИЗИЧЕСКАЯ КУЛЬТУРА И СПОРТ</t>
  </si>
  <si>
    <t>Приложение 1</t>
  </si>
  <si>
    <t xml:space="preserve">                    № ___</t>
  </si>
  <si>
    <t>Приложение 2</t>
  </si>
  <si>
    <t>01</t>
  </si>
  <si>
    <t>02</t>
  </si>
  <si>
    <t>13</t>
  </si>
  <si>
    <t>Приложение 3</t>
  </si>
  <si>
    <t>Приложение 4</t>
  </si>
  <si>
    <t>КЦСР</t>
  </si>
  <si>
    <t>100</t>
  </si>
  <si>
    <t>120</t>
  </si>
  <si>
    <t>500</t>
  </si>
  <si>
    <t>540</t>
  </si>
  <si>
    <t>200</t>
  </si>
  <si>
    <t>240</t>
  </si>
  <si>
    <t>800</t>
  </si>
  <si>
    <t>850</t>
  </si>
  <si>
    <t>110</t>
  </si>
  <si>
    <t>300</t>
  </si>
  <si>
    <t>6000000000</t>
  </si>
  <si>
    <t>6000002400</t>
  </si>
  <si>
    <t>2</t>
  </si>
  <si>
    <t>3</t>
  </si>
  <si>
    <t>Расходы на выплаты персоналу казенных учреждений</t>
  </si>
  <si>
    <t/>
  </si>
  <si>
    <t>КВР</t>
  </si>
  <si>
    <t>к решению Совета депутатов</t>
  </si>
  <si>
    <t xml:space="preserve"> городского поселения Куминский </t>
  </si>
  <si>
    <t>рублей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</si>
  <si>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</si>
  <si>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</si>
  <si>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</si>
  <si>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</si>
  <si>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</si>
  <si>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</si>
  <si>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№____</t>
  </si>
  <si>
    <t>650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</si>
  <si>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</si>
  <si>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</si>
  <si>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Непрограммные расходы</t>
  </si>
  <si>
    <t>Расходы на обеспечение функций органами местного самоуправления</t>
  </si>
  <si>
    <t>Подпрограмма "Профилактика правонарушений в общественных местах"</t>
  </si>
  <si>
    <t>Итого</t>
  </si>
  <si>
    <t xml:space="preserve"> </t>
  </si>
  <si>
    <t>Изменение остатков средств на счетах по учету средств бюджетов</t>
  </si>
  <si>
    <t>Наименование</t>
  </si>
  <si>
    <t>Код по бюджетной классификации</t>
  </si>
  <si>
    <t>Исполнение</t>
  </si>
  <si>
    <t>10102010</t>
  </si>
  <si>
    <t>182</t>
  </si>
  <si>
    <t>0000</t>
  </si>
  <si>
    <t>10102030</t>
  </si>
  <si>
    <t>10302231</t>
  </si>
  <si>
    <t>10302241</t>
  </si>
  <si>
    <t>10302251</t>
  </si>
  <si>
    <t>10302261</t>
  </si>
  <si>
    <t>Единый сельскохозяйственный налог</t>
  </si>
  <si>
    <t>10503010</t>
  </si>
  <si>
    <t>10601030</t>
  </si>
  <si>
    <t>Транспортный налог с организаций</t>
  </si>
  <si>
    <t>10604011</t>
  </si>
  <si>
    <t>Транспортный налог с физических лиц</t>
  </si>
  <si>
    <t>10604012</t>
  </si>
  <si>
    <t>10606033</t>
  </si>
  <si>
    <t>10606043</t>
  </si>
  <si>
    <t>10804020</t>
  </si>
  <si>
    <t>11105013</t>
  </si>
  <si>
    <t>040</t>
  </si>
  <si>
    <t>11105035</t>
  </si>
  <si>
    <t>11109045</t>
  </si>
  <si>
    <t>11301995</t>
  </si>
  <si>
    <t>130</t>
  </si>
  <si>
    <t>11406013</t>
  </si>
  <si>
    <t>430</t>
  </si>
  <si>
    <t>20215001</t>
  </si>
  <si>
    <t>150</t>
  </si>
  <si>
    <t>20230024</t>
  </si>
  <si>
    <t>20235118</t>
  </si>
  <si>
    <t>20235930</t>
  </si>
  <si>
    <t>20249999</t>
  </si>
  <si>
    <t>к Решению совета депутатов</t>
  </si>
  <si>
    <t xml:space="preserve">городского поселения </t>
  </si>
  <si>
    <t xml:space="preserve">Куминский </t>
  </si>
  <si>
    <t>Прочие мероприятия органов местного самоуправления</t>
  </si>
  <si>
    <t>Расходы на обеспечение деятельности (оказание услуг) муниципальных учреждений</t>
  </si>
  <si>
    <t>Расходы на создание условий для деятельности народных дружин</t>
  </si>
  <si>
    <t xml:space="preserve">Расходы на реализацию мероприятий по содействию трудоустройству граждан 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</si>
  <si>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</si>
  <si>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</si>
  <si>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</si>
  <si>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</si>
  <si>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Подпрограмма "Дополнительное пенсионное обеспечение отдельных категорий граждан"</t>
  </si>
  <si>
    <t>Публичные нормативные социальные выплаты гражданам</t>
  </si>
  <si>
    <t>310</t>
  </si>
  <si>
    <t>Массовый спорт</t>
  </si>
  <si>
    <t>Реализация мероприятий по развитию массовой физической культуры и спорта</t>
  </si>
  <si>
    <t>Администратор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</si>
  <si>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</si>
  <si>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</si>
  <si>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</si>
  <si>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</si>
  <si>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11302995</t>
  </si>
  <si>
    <t>Рз</t>
  </si>
  <si>
    <t>Пр</t>
  </si>
  <si>
    <t>00</t>
  </si>
  <si>
    <t>04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</si>
  <si>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</si>
  <si>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</si>
  <si>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</si>
  <si>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14</t>
  </si>
  <si>
    <t>05</t>
  </si>
  <si>
    <t>09</t>
  </si>
  <si>
    <t>07</t>
  </si>
  <si>
    <t>Расходы на организацию трудозанятости подростков</t>
  </si>
  <si>
    <t>08</t>
  </si>
  <si>
    <t>Социальные выплаты</t>
  </si>
  <si>
    <t>11</t>
  </si>
  <si>
    <t>Администрация Кондинского района</t>
  </si>
  <si>
    <t>Федеральная налоговая служба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</si>
  <si>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</si>
  <si>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</si>
  <si>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Уточненный план</t>
  </si>
  <si>
    <t>% исполнения</t>
  </si>
  <si>
    <t>Резервные фонды</t>
  </si>
  <si>
    <t>Резервные фонды муниципального образования</t>
  </si>
  <si>
    <t>870</t>
  </si>
  <si>
    <t>КБК</t>
  </si>
  <si>
    <t>по ведомственной структуре расходов бюджета</t>
  </si>
  <si>
    <t>5</t>
  </si>
  <si>
    <t>Код главного администратора доходов бюджета</t>
  </si>
  <si>
    <t>Код вида дохода бюджета</t>
  </si>
  <si>
    <t xml:space="preserve">Элемент дохода бюджета </t>
  </si>
  <si>
    <t>Группа подвида дохода бюджета</t>
  </si>
  <si>
    <t>Аналитическая группа подвида дохода бюджета</t>
  </si>
  <si>
    <t>Администрация городского поселения Куминский</t>
  </si>
  <si>
    <t>11402053</t>
  </si>
  <si>
    <t>410</t>
  </si>
  <si>
    <t>6000007050</t>
  </si>
  <si>
    <t>Исполнение судебных актов</t>
  </si>
  <si>
    <t>830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</si>
  <si>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</si>
  <si>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</si>
  <si>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</si>
  <si>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</si>
  <si>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</si>
  <si>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</si>
  <si>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</si>
  <si>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</si>
  <si>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</si>
  <si>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</si>
  <si>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</si>
  <si>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</si>
  <si>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</si>
  <si>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</si>
  <si>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</si>
  <si>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</si>
  <si>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</si>
  <si>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</si>
  <si>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</si>
  <si>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</si>
  <si>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</si>
  <si>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Прочие безвозмездные поступления от государственных (муниципальных) организаций в бюджеты муниципальных районов</t>
  </si>
  <si>
    <t>20305099</t>
  </si>
  <si>
    <t>от ___  2024 года № ___</t>
  </si>
  <si>
    <t xml:space="preserve"> Доходы бюджета муниципального образования городское поселение Куминский  за 2023 год по кодам классификации доходов  бюджетов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</si>
  <si>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жизнедеятельности"</t>
  </si>
  <si>
    <t>0100000000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</si>
  <si>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"Служба хозяйственного обеспечения Администрации городского поселения Куминский"</t>
  </si>
  <si>
    <t>0140000000</t>
  </si>
  <si>
    <t>Основное мероприятие "Содержание и обеспечение деятельности главы городского поселения Куминский, администрации городского поселения Куминский и Муниципального казенного учреждения "Служба хозяйственного обеспечения администрации гп Куминский"</t>
  </si>
  <si>
    <t>0141100000</t>
  </si>
  <si>
    <t>Глава (высшее должностное лицо) муниципального образования</t>
  </si>
  <si>
    <t>0141102030</t>
  </si>
  <si>
    <t>0141102040</t>
  </si>
  <si>
    <t>Обеспечение проведения выборов и референдумов</t>
  </si>
  <si>
    <t>Расходы на организационное и материально-техническое обеспечение подготовки и проведения выборов (голосований)</t>
  </si>
  <si>
    <t>6000079990</t>
  </si>
  <si>
    <t>Специальные расходы</t>
  </si>
  <si>
    <t>880</t>
  </si>
  <si>
    <t>Резервные средства</t>
  </si>
  <si>
    <t>0141100590</t>
  </si>
  <si>
    <t>0141102400</t>
  </si>
  <si>
    <t>Основное мероприятие "Опубликование в средствах массовой информации нормативно – правовых актов органов местного самоуправления городского поселения Куминский"</t>
  </si>
  <si>
    <t>0141200000</t>
  </si>
  <si>
    <t>0141202400</t>
  </si>
  <si>
    <t>Основное мероприятие "Исполнение полномочий по осуществлению первичного воинского учета, по государственной регистрации актов гражданского состояния и полномочий субъектов Российской Федерации на территории городского поселения Куминский"</t>
  </si>
  <si>
    <t>0143100000</t>
  </si>
  <si>
    <t>0143151180</t>
  </si>
  <si>
    <t>Осуществление переданных полномочий  Российской Федерации на государственную регистрацию актов гражданского состояния</t>
  </si>
  <si>
    <t>0143159300</t>
  </si>
  <si>
    <t>Осуществление переданных полномочий 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</si>
  <si>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01431D9300</t>
  </si>
  <si>
    <t>Муниципальная программа "Безопасность жизнедеятельности"</t>
  </si>
  <si>
    <t>0400000000</t>
  </si>
  <si>
    <t>Подпрограмма "Организация безопасности жизнедеятельности"</t>
  </si>
  <si>
    <t>0410000000</t>
  </si>
  <si>
    <t>Основное мероприятие "Обеспечение пожарной безопасности в городском поселении Куминский"</t>
  </si>
  <si>
    <t>0411200000</t>
  </si>
  <si>
    <t>0411200590</t>
  </si>
  <si>
    <t>Муниципальная программа "Укрепление межнационального и межконфессионального согласия, профилактика экстремизма, профилактика правонарушений в общественных местах"</t>
  </si>
  <si>
    <t>0500000000</t>
  </si>
  <si>
    <t>Подпрограмма "Укрепление межнационального и межконфессионального согласия, профилактика экстремизма"</t>
  </si>
  <si>
    <t>0510000000</t>
  </si>
  <si>
    <t>Основное мероприятие «Реализация единой государственной политики по гармонизации межконфессиональных и межнациональных отношений»</t>
  </si>
  <si>
    <t>0511100000</t>
  </si>
  <si>
    <t>0511100590</t>
  </si>
  <si>
    <t>Основное мероприятие "Профилактика экстремизма, обеспечение гражданского единства, содействие социальной и культурной адаптации иностранных граждан"</t>
  </si>
  <si>
    <t>0511200000</t>
  </si>
  <si>
    <t>0511200590</t>
  </si>
  <si>
    <t>0520000000</t>
  </si>
  <si>
    <t>Основное мероприятие "Создание условий для деятельности народных дружин"</t>
  </si>
  <si>
    <t>0521100000</t>
  </si>
  <si>
    <t>0521182300</t>
  </si>
  <si>
    <t>Расходы на софинансирование материального стимулирования народных дружинников и предоставление мер поддержки (Бюджет поселения)</t>
  </si>
  <si>
    <t>05211S2300</t>
  </si>
  <si>
    <t>Основное мероприятие "Содействие занятости населения"</t>
  </si>
  <si>
    <t>0142100000</t>
  </si>
  <si>
    <t>Расходы на реализацию мероприятий по содействию трудоустройства граждан</t>
  </si>
  <si>
    <t>0142105060</t>
  </si>
  <si>
    <t>0142170145</t>
  </si>
  <si>
    <t>0142185060</t>
  </si>
  <si>
    <t>0142195060</t>
  </si>
  <si>
    <t>0143184200</t>
  </si>
  <si>
    <t>Муниципальная программа "Автомобильные дороги городского поселения Куминский. Текущий ремонт и содержание"</t>
  </si>
  <si>
    <t>0200000000</t>
  </si>
  <si>
    <t>0210000000</t>
  </si>
  <si>
    <t>Основное мероприятие "Содержание автомобильных дорог муниципального образования городское поселение Куминский"</t>
  </si>
  <si>
    <t>0211100000</t>
  </si>
  <si>
    <t>Расходы за счет дорожного фонда муниципального образования городское поселение Куминский</t>
  </si>
  <si>
    <t>0211192400</t>
  </si>
  <si>
    <t>Основное мероприятие "Техническое обслуживание уличного освещения"</t>
  </si>
  <si>
    <t>0211200000</t>
  </si>
  <si>
    <t>0211292400</t>
  </si>
  <si>
    <t>Основное мероприятие "Приобретение материалов, запасных частей, энергосберегающих светильников для технического обслуживания уличного освещения"</t>
  </si>
  <si>
    <t>0211300000</t>
  </si>
  <si>
    <t>0211392400</t>
  </si>
  <si>
    <t>Основное 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</si>
  <si>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0211400000</t>
  </si>
  <si>
    <t>0211492400</t>
  </si>
  <si>
    <t>Основное мероприятие "Строительство и ремонт тротуаров и пешеходных дорожек на территории городского поселения Куминский"</t>
  </si>
  <si>
    <t>0211500000</t>
  </si>
  <si>
    <t>0211592400</t>
  </si>
  <si>
    <t>Основное мероприятие "Ремонт автомобильных дорог муниципального образования городское поселение Куминский"</t>
  </si>
  <si>
    <t>0211600000</t>
  </si>
  <si>
    <t>0211692400</t>
  </si>
  <si>
    <t>Основное мероприятие "Развитие и функционирование системы управления автомобильными дорогами и искусственными сооружениями на них (инвентаризация, паспортиризация, диагностика, кадастровые работы, регистрация прав собственности)"</t>
  </si>
  <si>
    <t>0211700000</t>
  </si>
  <si>
    <t>0211792400</t>
  </si>
  <si>
    <t>Основное мероприятие "Организация безопасности дорожного движения (установка дорожных знаков, организация дорожной разметки, установка дорожных ограждений, установка искусственных неровностей и т.д.)"</t>
  </si>
  <si>
    <t>0211800000</t>
  </si>
  <si>
    <t>0211892400</t>
  </si>
  <si>
    <t>Муниципальная программа "Благоустройство и жилищно-коммунальное хозяйство"</t>
  </si>
  <si>
    <t>0600000000</t>
  </si>
  <si>
    <t>Подпрограмма "Муниципальный жилой фонд"</t>
  </si>
  <si>
    <t>0620000000</t>
  </si>
  <si>
    <t>Основное мероприятие "Ремонт муниципального жилого фонда"</t>
  </si>
  <si>
    <t>0621100000</t>
  </si>
  <si>
    <t>0621102400</t>
  </si>
  <si>
    <t>Основное мероприятие "Содержание муниципального жилого фонда"</t>
  </si>
  <si>
    <t>0621200000</t>
  </si>
  <si>
    <t>0621202400</t>
  </si>
  <si>
    <t>Основное мероприятие "Изготовление технической документации"</t>
  </si>
  <si>
    <t>0621300000</t>
  </si>
  <si>
    <t>0621302400</t>
  </si>
  <si>
    <t>Коммунальное хозяйство</t>
  </si>
  <si>
    <t>Подпрограмма «Обеспечения качественными коммунальными услугами»</t>
  </si>
  <si>
    <t>0630000000</t>
  </si>
  <si>
    <t>Основное мероприятие «Создание условий для обеспечения качественными коммунальными услугами»</t>
  </si>
  <si>
    <t>0631100000</t>
  </si>
  <si>
    <t>Расходы в области жилищно-коммунального хозяйства</t>
  </si>
  <si>
    <t>0631170010</t>
  </si>
  <si>
    <t>Подпрограмма "Благоустройство территории городского поселения Куминский"</t>
  </si>
  <si>
    <t>0610000000</t>
  </si>
  <si>
    <t>Основное мероприятие "Санитарная очистка поселка"</t>
  </si>
  <si>
    <t>0611100000</t>
  </si>
  <si>
    <t>0611100590</t>
  </si>
  <si>
    <t>Основное мероприятие "Улучшение внешнего облика поселения"</t>
  </si>
  <si>
    <t>0611200000</t>
  </si>
  <si>
    <t>0611200590</t>
  </si>
  <si>
    <t>Основное мероприятие "Праздничное оформление поселка"</t>
  </si>
  <si>
    <t>0611300000</t>
  </si>
  <si>
    <t>0611300590</t>
  </si>
  <si>
    <t>Основное мероприятие "Формирование комфортной городской среды"</t>
  </si>
  <si>
    <t>061F200000</t>
  </si>
  <si>
    <t>Расходы на благоустройство территорий муниципальных образований</t>
  </si>
  <si>
    <t>061F282020</t>
  </si>
  <si>
    <t>Софинансирование расходов на благоустройство территорий муниципальных образований</t>
  </si>
  <si>
    <t>061F2S2020</t>
  </si>
  <si>
    <t>Муниципальная программа "Культура и молодежная политика"</t>
  </si>
  <si>
    <t>0300000000</t>
  </si>
  <si>
    <t>Подпрограмма "Молодежная политика"</t>
  </si>
  <si>
    <t>0320000000</t>
  </si>
  <si>
    <t>Основное мероприятие "Исполнение полномочий по молодежной политике"</t>
  </si>
  <si>
    <t>0321100000</t>
  </si>
  <si>
    <t>0321100590</t>
  </si>
  <si>
    <t>Подпрограмма "Культура, досуг, творчество"</t>
  </si>
  <si>
    <t>0310000000</t>
  </si>
  <si>
    <t>Основное мероприятие "Создание условий для выполнения функций, направленных на обеспечение деятельности учреждения культуры"</t>
  </si>
  <si>
    <t>0311100000</t>
  </si>
  <si>
    <t>0311100590</t>
  </si>
  <si>
    <t>0311172580</t>
  </si>
  <si>
    <t>Основное мероприятие "Проведение культурно-зрелищных мероприятий"</t>
  </si>
  <si>
    <t>0311200000</t>
  </si>
  <si>
    <t>0311200590</t>
  </si>
  <si>
    <t>Расходы на реализацию плана мероприятий "100-летия Кондинского района"</t>
  </si>
  <si>
    <t>0311270050</t>
  </si>
  <si>
    <t>0120000000</t>
  </si>
  <si>
    <t>Основное мероприятие "Дополнительное пенсионное обеспечение отдельных категорий граждан"</t>
  </si>
  <si>
    <t>0121100000</t>
  </si>
  <si>
    <t>0121100220</t>
  </si>
  <si>
    <t>Основное мероприятие "Организация спортивно-массовых мероприятий "</t>
  </si>
  <si>
    <t>0143200000</t>
  </si>
  <si>
    <t>0143200040</t>
  </si>
  <si>
    <t xml:space="preserve">Расходы бюджета муниципального образования городское поселение Куминский за 2023 год </t>
  </si>
  <si>
    <t>от «___» _____ 2024 года</t>
  </si>
  <si>
    <t xml:space="preserve">Расходы бюджета муниципального образования городское поселение Куминский за 2023 год по разделам и подразделам классификации расходов бюджетов </t>
  </si>
  <si>
    <t>от «___» ____ 2024 года</t>
  </si>
  <si>
    <t>от «___»  2024 года</t>
  </si>
  <si>
    <t xml:space="preserve">Источники финансирования дефицита бюджета
муниципального образования городское поселение Куминский за 2023 год
по кодам классификации источников финансирования дефицитов бюджетов
</t>
  </si>
  <si>
    <t>Неисполненные назначения</t>
  </si>
  <si>
    <t>ИСТОЧНИКИ ВНУТРЕННЕГО ФИНАНСИРОВАНИЯ ДЕФИЦИТОВ БЮДЖЕТОВ</t>
  </si>
  <si>
    <t>650 01 00 00 00 00 0000 000</t>
  </si>
  <si>
    <t>650 01 05 00 00 00 0000 000</t>
  </si>
  <si>
    <t>Увеличение остатков средств бюджетов</t>
  </si>
  <si>
    <t>650 01 05 00 00 00 0000 500</t>
  </si>
  <si>
    <t>650 01 05 02 00 00 0000 500</t>
  </si>
  <si>
    <t>650 01 05 02 01 00 0000 510</t>
  </si>
  <si>
    <t>650 01 05 02 01 13 0000 510</t>
  </si>
  <si>
    <t>Уменьшение остатков средств бюджетов</t>
  </si>
  <si>
    <t>650 01 05 00 00 00 0000 600</t>
  </si>
  <si>
    <t>650 01 05 02 00 00 0000 600</t>
  </si>
  <si>
    <t>650 01 05 02 01 00 0000 610</t>
  </si>
  <si>
    <t>650 01 05 02 01 13 0000 610</t>
  </si>
  <si>
    <t>Всего источников внутреннего финансирования дефицита бюджета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</si>
</sst>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0.0"/>
    <numFmt numFmtId="191" formatCode="#,##0.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4" fontId="9" fillId="33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0">
      <selection activeCell="D17" sqref="D17"/>
    </sheetView>
  </sheetViews>
  <sheetFormatPr defaultColWidth="9.140625" defaultRowHeight="12.75"/>
  <cols>
    <col min="1" max="1" width="39.8515625" style="3" customWidth="1"/>
    <col min="2" max="2" width="33.57421875" style="3" customWidth="1"/>
    <col min="3" max="3" width="20.7109375" style="3" customWidth="1"/>
    <col min="4" max="4" width="15.00390625" style="3" customWidth="1"/>
    <col min="5" max="5" width="14.28125" style="3" customWidth="1"/>
    <col min="6" max="16384" width="8.8515625" style="3" customWidth="1"/>
  </cols>
  <sheetData>
    <row r="1" ht="15">
      <c r="E1" s="2" t="s">
        <v>41</v>
      </c>
    </row>
    <row r="2" ht="15">
      <c r="E2" s="2" t="s">
        <v>60</v>
      </c>
    </row>
    <row r="3" ht="15">
      <c r="E3" s="2" t="s">
        <v>61</v>
      </c>
    </row>
    <row r="4" ht="15">
      <c r="E4" s="2" t="s">
        <v>351</v>
      </c>
    </row>
    <row r="5" ht="15">
      <c r="E5" s="2" t="s">
        <v>35</v>
      </c>
    </row>
    <row r="6" spans="1:5" ht="54" customHeight="1">
      <c r="A6" s="54" t="s">
        <v>352</v>
      </c>
      <c r="B6" s="54"/>
      <c r="C6" s="54"/>
      <c r="D6" s="54"/>
      <c r="E6" s="54"/>
    </row>
    <row r="7" spans="1:5" ht="15">
      <c r="A7" s="15"/>
      <c r="B7" s="15"/>
      <c r="E7" s="16" t="s">
        <v>62</v>
      </c>
    </row>
    <row r="8" spans="1:6" s="6" customFormat="1" ht="15">
      <c r="A8" s="56" t="s">
        <v>153</v>
      </c>
      <c r="B8" s="55" t="s">
        <v>154</v>
      </c>
      <c r="C8" s="55" t="s">
        <v>155</v>
      </c>
      <c r="D8" s="55" t="s">
        <v>81</v>
      </c>
      <c r="E8" s="55" t="s">
        <v>353</v>
      </c>
      <c r="F8" s="13"/>
    </row>
    <row r="9" spans="1:6" s="6" customFormat="1" ht="87" customHeight="1">
      <c r="A9" s="56"/>
      <c r="B9" s="55"/>
      <c r="C9" s="55"/>
      <c r="D9" s="55"/>
      <c r="E9" s="55"/>
      <c r="F9" s="13"/>
    </row>
    <row r="10" spans="1:6" ht="46.5">
      <c r="A10" s="45" t="s">
        <v>354</v>
      </c>
      <c r="B10" s="46" t="s">
        <v>355</v>
      </c>
      <c r="C10" s="47">
        <v>3898184.84</v>
      </c>
      <c r="D10" s="47">
        <f>D15+D16</f>
        <v>-2662955.4299999997</v>
      </c>
      <c r="E10" s="47">
        <f>C10-D10</f>
        <v>6561140.27</v>
      </c>
      <c r="F10" s="12"/>
    </row>
    <row r="11" spans="1:6" ht="30.75">
      <c r="A11" s="48" t="s">
        <v>78</v>
      </c>
      <c r="B11" s="49" t="s">
        <v>356</v>
      </c>
      <c r="C11" s="50">
        <f>C10</f>
        <v>3898184.84</v>
      </c>
      <c r="D11" s="50">
        <f>D10</f>
        <v>-2662955.4299999997</v>
      </c>
      <c r="E11" s="51">
        <f>C11-D11</f>
        <v>6561140.27</v>
      </c>
      <c r="F11" s="12"/>
    </row>
    <row r="12" spans="1:6" ht="30.75">
      <c r="A12" s="48" t="s">
        <v>357</v>
      </c>
      <c r="B12" s="49" t="s">
        <v>358</v>
      </c>
      <c r="C12" s="50">
        <v>-56874356.24</v>
      </c>
      <c r="D12" s="50">
        <v>-58743548.36</v>
      </c>
      <c r="E12" s="51">
        <f aca="true" t="shared" si="0" ref="E12:E20">C12-D12</f>
        <v>1869192.1199999973</v>
      </c>
      <c r="F12" s="12"/>
    </row>
    <row r="13" spans="1:6" ht="30.75">
      <c r="A13" s="48" t="s">
        <v>63</v>
      </c>
      <c r="B13" s="49" t="s">
        <v>359</v>
      </c>
      <c r="C13" s="50">
        <f aca="true" t="shared" si="1" ref="C13:D15">C12</f>
        <v>-56874356.24</v>
      </c>
      <c r="D13" s="50">
        <f>D12</f>
        <v>-58743548.36</v>
      </c>
      <c r="E13" s="51">
        <f t="shared" si="0"/>
        <v>1869192.1199999973</v>
      </c>
      <c r="F13" s="12"/>
    </row>
    <row r="14" spans="1:6" ht="30.75">
      <c r="A14" s="48" t="s">
        <v>64</v>
      </c>
      <c r="B14" s="49" t="s">
        <v>360</v>
      </c>
      <c r="C14" s="50">
        <f t="shared" si="1"/>
        <v>-56874356.24</v>
      </c>
      <c r="D14" s="50">
        <f t="shared" si="1"/>
        <v>-58743548.36</v>
      </c>
      <c r="E14" s="51">
        <f t="shared" si="0"/>
        <v>1869192.1199999973</v>
      </c>
      <c r="F14" s="12"/>
    </row>
    <row r="15" spans="1:6" ht="46.5">
      <c r="A15" s="48" t="s">
        <v>65</v>
      </c>
      <c r="B15" s="49" t="s">
        <v>361</v>
      </c>
      <c r="C15" s="50">
        <f t="shared" si="1"/>
        <v>-56874356.24</v>
      </c>
      <c r="D15" s="50">
        <f t="shared" si="1"/>
        <v>-58743548.36</v>
      </c>
      <c r="E15" s="51">
        <f>C15-D15</f>
        <v>1869192.1199999973</v>
      </c>
      <c r="F15" s="12"/>
    </row>
    <row r="16" spans="1:6" ht="30.75">
      <c r="A16" s="48" t="s">
        <v>362</v>
      </c>
      <c r="B16" s="49" t="s">
        <v>363</v>
      </c>
      <c r="C16" s="50">
        <v>60772541.08</v>
      </c>
      <c r="D16" s="50">
        <v>56080592.93</v>
      </c>
      <c r="E16" s="51">
        <f t="shared" si="0"/>
        <v>4691948.1499999985</v>
      </c>
      <c r="F16" s="12"/>
    </row>
    <row r="17" spans="1:6" ht="30.75">
      <c r="A17" s="48" t="s">
        <v>66</v>
      </c>
      <c r="B17" s="49" t="s">
        <v>364</v>
      </c>
      <c r="C17" s="50">
        <f aca="true" t="shared" si="2" ref="C17:D19">C16</f>
        <v>60772541.08</v>
      </c>
      <c r="D17" s="50">
        <f t="shared" si="2"/>
        <v>56080592.93</v>
      </c>
      <c r="E17" s="51">
        <f t="shared" si="0"/>
        <v>4691948.1499999985</v>
      </c>
      <c r="F17" s="12"/>
    </row>
    <row r="18" spans="1:6" ht="30.75">
      <c r="A18" s="48" t="s">
        <v>67</v>
      </c>
      <c r="B18" s="49" t="s">
        <v>365</v>
      </c>
      <c r="C18" s="50">
        <f t="shared" si="2"/>
        <v>60772541.08</v>
      </c>
      <c r="D18" s="50">
        <f t="shared" si="2"/>
        <v>56080592.93</v>
      </c>
      <c r="E18" s="51">
        <f t="shared" si="0"/>
        <v>4691948.1499999985</v>
      </c>
      <c r="F18" s="12"/>
    </row>
    <row r="19" spans="1:6" ht="46.5">
      <c r="A19" s="48" t="s">
        <v>68</v>
      </c>
      <c r="B19" s="49" t="s">
        <v>366</v>
      </c>
      <c r="C19" s="50">
        <f t="shared" si="2"/>
        <v>60772541.08</v>
      </c>
      <c r="D19" s="50">
        <f t="shared" si="2"/>
        <v>56080592.93</v>
      </c>
      <c r="E19" s="51">
        <f t="shared" si="0"/>
        <v>4691948.1499999985</v>
      </c>
      <c r="F19" s="12"/>
    </row>
    <row r="20" spans="1:6" ht="30.75">
      <c r="A20" s="45" t="s">
        <v>367</v>
      </c>
      <c r="B20" s="52"/>
      <c r="C20" s="53">
        <v>3898184.84</v>
      </c>
      <c r="D20" s="53">
        <f>D15+D16</f>
        <v>-2662955.4299999997</v>
      </c>
      <c r="E20" s="47">
        <f t="shared" si="0"/>
        <v>6561140.27</v>
      </c>
      <c r="F20" s="12"/>
    </row>
  </sheetData>
  <sheetProtection/>
  <mergeCells count="6">
    <mergeCell ref="A6:E6"/>
    <mergeCell ref="B8:B9"/>
    <mergeCell ref="C8:C9"/>
    <mergeCell ref="D8:D9"/>
    <mergeCell ref="E8:E9"/>
    <mergeCell ref="A8:A9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28">
      <selection activeCell="B16" sqref="B16"/>
    </sheetView>
  </sheetViews>
  <sheetFormatPr defaultColWidth="9.140625" defaultRowHeight="12.75"/>
  <cols>
    <col min="1" max="1" width="61.57421875" style="35" customWidth="1"/>
    <col min="2" max="3" width="5.28125" style="38" customWidth="1"/>
    <col min="4" max="4" width="14.00390625" style="35" customWidth="1"/>
    <col min="5" max="5" width="15.7109375" style="36" customWidth="1"/>
    <col min="6" max="16384" width="8.8515625" style="36" customWidth="1"/>
  </cols>
  <sheetData>
    <row r="1" spans="1:6" ht="12.75">
      <c r="A1" s="32"/>
      <c r="B1" s="33"/>
      <c r="C1" s="34"/>
      <c r="F1" s="32" t="s">
        <v>40</v>
      </c>
    </row>
    <row r="2" spans="1:6" ht="12.75">
      <c r="A2" s="32"/>
      <c r="B2" s="33"/>
      <c r="C2" s="34"/>
      <c r="F2" s="32" t="s">
        <v>60</v>
      </c>
    </row>
    <row r="3" spans="1:6" ht="12.75">
      <c r="A3" s="32"/>
      <c r="B3" s="33"/>
      <c r="C3" s="34"/>
      <c r="F3" s="32" t="s">
        <v>61</v>
      </c>
    </row>
    <row r="4" spans="1:6" ht="12.75">
      <c r="A4" s="32"/>
      <c r="B4" s="33"/>
      <c r="C4" s="34"/>
      <c r="F4" s="32" t="s">
        <v>350</v>
      </c>
    </row>
    <row r="5" spans="1:6" ht="12.75">
      <c r="A5" s="37"/>
      <c r="C5" s="34"/>
      <c r="E5" s="39"/>
      <c r="F5" s="32" t="s">
        <v>69</v>
      </c>
    </row>
    <row r="6" spans="1:11" s="41" customFormat="1" ht="44.25" customHeight="1">
      <c r="A6" s="59" t="s">
        <v>349</v>
      </c>
      <c r="B6" s="59"/>
      <c r="C6" s="59"/>
      <c r="D6" s="59"/>
      <c r="E6" s="59"/>
      <c r="F6" s="59"/>
      <c r="G6" s="40"/>
      <c r="H6" s="40"/>
      <c r="I6" s="40"/>
      <c r="J6" s="40"/>
      <c r="K6" s="40"/>
    </row>
    <row r="7" ht="12.75">
      <c r="F7" s="10" t="s">
        <v>62</v>
      </c>
    </row>
    <row r="8" spans="1:6" s="42" customFormat="1" ht="15" customHeight="1">
      <c r="A8" s="57" t="s">
        <v>79</v>
      </c>
      <c r="B8" s="60" t="s">
        <v>160</v>
      </c>
      <c r="C8" s="60"/>
      <c r="D8" s="57" t="s">
        <v>155</v>
      </c>
      <c r="E8" s="57" t="s">
        <v>81</v>
      </c>
      <c r="F8" s="57" t="s">
        <v>156</v>
      </c>
    </row>
    <row r="9" spans="1:6" s="42" customFormat="1" ht="24.75" customHeight="1">
      <c r="A9" s="58"/>
      <c r="B9" s="43" t="s">
        <v>136</v>
      </c>
      <c r="C9" s="43" t="s">
        <v>137</v>
      </c>
      <c r="D9" s="58"/>
      <c r="E9" s="58"/>
      <c r="F9" s="58"/>
    </row>
    <row r="10" spans="1:6" s="35" customFormat="1" ht="12.75">
      <c r="A10" s="44">
        <v>1</v>
      </c>
      <c r="B10" s="29" t="s">
        <v>55</v>
      </c>
      <c r="C10" s="29" t="s">
        <v>56</v>
      </c>
      <c r="D10" s="44">
        <v>4</v>
      </c>
      <c r="E10" s="44">
        <v>5</v>
      </c>
      <c r="F10" s="44">
        <v>6</v>
      </c>
    </row>
    <row r="11" spans="1:6" s="35" customFormat="1" ht="12.75">
      <c r="A11" s="27" t="s">
        <v>3</v>
      </c>
      <c r="B11" s="29" t="s">
        <v>37</v>
      </c>
      <c r="C11" s="29" t="s">
        <v>138</v>
      </c>
      <c r="D11" s="30">
        <f>27986142.65</f>
        <v>27986142.65</v>
      </c>
      <c r="E11" s="31">
        <f>27025905.02</f>
        <v>27025905.02</v>
      </c>
      <c r="F11" s="31">
        <f>96.57</f>
        <v>96.57</v>
      </c>
    </row>
    <row r="12" spans="1:6" s="35" customFormat="1" ht="26.25">
      <c r="A12" s="27" t="s">
        <v>4</v>
      </c>
      <c r="B12" s="29" t="s">
        <v>37</v>
      </c>
      <c r="C12" s="29" t="s">
        <v>38</v>
      </c>
      <c r="D12" s="30">
        <f>2388477.74</f>
        <v>2388477.74</v>
      </c>
      <c r="E12" s="31">
        <f>2388477.74</f>
        <v>2388477.74</v>
      </c>
      <c r="F12" s="31">
        <f>100</f>
        <v>100</v>
      </c>
    </row>
    <row r="13" spans="1:6" s="35" customFormat="1" ht="39">
      <c r="A13" s="27" t="s">
        <v>7</v>
      </c>
      <c r="B13" s="29" t="s">
        <v>37</v>
      </c>
      <c r="C13" s="29" t="s">
        <v>139</v>
      </c>
      <c r="D13" s="30">
        <f>11645690.64</f>
        <v>11645690.64</v>
      </c>
      <c r="E13" s="31">
        <f>11616254.82</f>
        <v>11616254.82</v>
      </c>
      <c r="F13" s="31">
        <f>99.75</f>
        <v>99.75</v>
      </c>
    </row>
    <row r="14" spans="1:6" s="35" customFormat="1" ht="12.75">
      <c r="A14" s="27" t="s">
        <v>208</v>
      </c>
      <c r="B14" s="29" t="s">
        <v>37</v>
      </c>
      <c r="C14" s="29" t="s">
        <v>146</v>
      </c>
      <c r="D14" s="30">
        <f>556164</f>
        <v>556164</v>
      </c>
      <c r="E14" s="31">
        <f>556164</f>
        <v>556164</v>
      </c>
      <c r="F14" s="31">
        <f>100</f>
        <v>100</v>
      </c>
    </row>
    <row r="15" spans="1:6" s="35" customFormat="1" ht="12.75">
      <c r="A15" s="27" t="s">
        <v>157</v>
      </c>
      <c r="B15" s="29" t="s">
        <v>37</v>
      </c>
      <c r="C15" s="29" t="s">
        <v>150</v>
      </c>
      <c r="D15" s="30">
        <f>10000</f>
        <v>10000</v>
      </c>
      <c r="E15" s="27" t="s">
        <v>58</v>
      </c>
      <c r="F15" s="27" t="s">
        <v>58</v>
      </c>
    </row>
    <row r="16" spans="1:6" ht="12.75">
      <c r="A16" s="27" t="s">
        <v>9</v>
      </c>
      <c r="B16" s="29" t="s">
        <v>37</v>
      </c>
      <c r="C16" s="29" t="s">
        <v>39</v>
      </c>
      <c r="D16" s="30">
        <f>13385810.27</f>
        <v>13385810.27</v>
      </c>
      <c r="E16" s="31">
        <f>12465008.46</f>
        <v>12465008.46</v>
      </c>
      <c r="F16" s="31">
        <f>93.12</f>
        <v>93.12</v>
      </c>
    </row>
    <row r="17" spans="1:6" ht="12.75">
      <c r="A17" s="27" t="s">
        <v>14</v>
      </c>
      <c r="B17" s="29" t="s">
        <v>38</v>
      </c>
      <c r="C17" s="29" t="s">
        <v>138</v>
      </c>
      <c r="D17" s="30">
        <f>692700</f>
        <v>692700</v>
      </c>
      <c r="E17" s="31">
        <f>692700</f>
        <v>692700</v>
      </c>
      <c r="F17" s="31">
        <f aca="true" t="shared" si="0" ref="F17:F22">100</f>
        <v>100</v>
      </c>
    </row>
    <row r="18" spans="1:6" ht="12.75">
      <c r="A18" s="27" t="s">
        <v>15</v>
      </c>
      <c r="B18" s="29" t="s">
        <v>38</v>
      </c>
      <c r="C18" s="29" t="s">
        <v>140</v>
      </c>
      <c r="D18" s="30">
        <f>692700</f>
        <v>692700</v>
      </c>
      <c r="E18" s="31">
        <f>692700</f>
        <v>692700</v>
      </c>
      <c r="F18" s="31">
        <f t="shared" si="0"/>
        <v>100</v>
      </c>
    </row>
    <row r="19" spans="1:6" ht="26.25">
      <c r="A19" s="27" t="s">
        <v>16</v>
      </c>
      <c r="B19" s="29" t="s">
        <v>140</v>
      </c>
      <c r="C19" s="29" t="s">
        <v>138</v>
      </c>
      <c r="D19" s="30">
        <f>339049.14</f>
        <v>339049.14</v>
      </c>
      <c r="E19" s="31">
        <f>339049.14</f>
        <v>339049.14</v>
      </c>
      <c r="F19" s="31">
        <f t="shared" si="0"/>
        <v>100</v>
      </c>
    </row>
    <row r="20" spans="1:6" ht="12.75">
      <c r="A20" s="27" t="s">
        <v>17</v>
      </c>
      <c r="B20" s="29" t="s">
        <v>140</v>
      </c>
      <c r="C20" s="29" t="s">
        <v>139</v>
      </c>
      <c r="D20" s="30">
        <f>131940.78</f>
        <v>131940.78</v>
      </c>
      <c r="E20" s="31">
        <f>131940.78</f>
        <v>131940.78</v>
      </c>
      <c r="F20" s="31">
        <f t="shared" si="0"/>
        <v>100</v>
      </c>
    </row>
    <row r="21" spans="1:6" ht="26.25">
      <c r="A21" s="27" t="s">
        <v>141</v>
      </c>
      <c r="B21" s="29" t="s">
        <v>140</v>
      </c>
      <c r="C21" s="29" t="s">
        <v>142</v>
      </c>
      <c r="D21" s="30">
        <f>168920.86</f>
        <v>168920.86</v>
      </c>
      <c r="E21" s="31">
        <f>168920.86</f>
        <v>168920.86</v>
      </c>
      <c r="F21" s="31">
        <f t="shared" si="0"/>
        <v>100</v>
      </c>
    </row>
    <row r="22" spans="1:6" ht="26.25">
      <c r="A22" s="27" t="s">
        <v>18</v>
      </c>
      <c r="B22" s="29" t="s">
        <v>140</v>
      </c>
      <c r="C22" s="29" t="s">
        <v>143</v>
      </c>
      <c r="D22" s="30">
        <f>38187.5</f>
        <v>38187.5</v>
      </c>
      <c r="E22" s="31">
        <f>38187.5</f>
        <v>38187.5</v>
      </c>
      <c r="F22" s="31">
        <f t="shared" si="0"/>
        <v>100</v>
      </c>
    </row>
    <row r="23" spans="1:6" ht="12.75">
      <c r="A23" s="27" t="s">
        <v>19</v>
      </c>
      <c r="B23" s="29" t="s">
        <v>139</v>
      </c>
      <c r="C23" s="29" t="s">
        <v>138</v>
      </c>
      <c r="D23" s="30">
        <f>10681217.57</f>
        <v>10681217.57</v>
      </c>
      <c r="E23" s="31">
        <f>6652284.55</f>
        <v>6652284.55</v>
      </c>
      <c r="F23" s="31">
        <f>62.28</f>
        <v>62.28</v>
      </c>
    </row>
    <row r="24" spans="1:6" ht="12.75">
      <c r="A24" s="27" t="s">
        <v>20</v>
      </c>
      <c r="B24" s="29" t="s">
        <v>139</v>
      </c>
      <c r="C24" s="29" t="s">
        <v>37</v>
      </c>
      <c r="D24" s="30">
        <f>2247624.72</f>
        <v>2247624.72</v>
      </c>
      <c r="E24" s="31">
        <f>2234476.81</f>
        <v>2234476.81</v>
      </c>
      <c r="F24" s="31">
        <f>99.42</f>
        <v>99.42</v>
      </c>
    </row>
    <row r="25" spans="1:6" ht="12.75">
      <c r="A25" s="27" t="s">
        <v>121</v>
      </c>
      <c r="B25" s="29" t="s">
        <v>139</v>
      </c>
      <c r="C25" s="29" t="s">
        <v>144</v>
      </c>
      <c r="D25" s="30">
        <f>3123.17</f>
        <v>3123.17</v>
      </c>
      <c r="E25" s="31">
        <f>3123.17</f>
        <v>3123.17</v>
      </c>
      <c r="F25" s="31">
        <f>100</f>
        <v>100</v>
      </c>
    </row>
    <row r="26" spans="1:6" ht="12.75">
      <c r="A26" s="27" t="s">
        <v>21</v>
      </c>
      <c r="B26" s="29" t="s">
        <v>139</v>
      </c>
      <c r="C26" s="29" t="s">
        <v>145</v>
      </c>
      <c r="D26" s="30">
        <f>8430469.68</f>
        <v>8430469.68</v>
      </c>
      <c r="E26" s="31">
        <f>4414684.57</f>
        <v>4414684.57</v>
      </c>
      <c r="F26" s="31">
        <f>52.37</f>
        <v>52.37</v>
      </c>
    </row>
    <row r="27" spans="1:6" ht="12.75">
      <c r="A27" s="27" t="s">
        <v>22</v>
      </c>
      <c r="B27" s="29" t="s">
        <v>144</v>
      </c>
      <c r="C27" s="29" t="s">
        <v>138</v>
      </c>
      <c r="D27" s="30">
        <f>5265677.41</f>
        <v>5265677.41</v>
      </c>
      <c r="E27" s="31">
        <f>5178604.61</f>
        <v>5178604.61</v>
      </c>
      <c r="F27" s="31">
        <f>98.35</f>
        <v>98.35</v>
      </c>
    </row>
    <row r="28" spans="1:6" ht="12.75">
      <c r="A28" s="27" t="s">
        <v>23</v>
      </c>
      <c r="B28" s="29" t="s">
        <v>144</v>
      </c>
      <c r="C28" s="29" t="s">
        <v>37</v>
      </c>
      <c r="D28" s="30">
        <f>775602.37</f>
        <v>775602.37</v>
      </c>
      <c r="E28" s="31">
        <f>689451.57</f>
        <v>689451.57</v>
      </c>
      <c r="F28" s="31">
        <f>88.89</f>
        <v>88.89</v>
      </c>
    </row>
    <row r="29" spans="1:6" ht="12.75">
      <c r="A29" s="27" t="s">
        <v>298</v>
      </c>
      <c r="B29" s="29" t="s">
        <v>144</v>
      </c>
      <c r="C29" s="29" t="s">
        <v>38</v>
      </c>
      <c r="D29" s="30">
        <f>337381.72</f>
        <v>337381.72</v>
      </c>
      <c r="E29" s="31">
        <f>337381.72</f>
        <v>337381.72</v>
      </c>
      <c r="F29" s="31">
        <f>100</f>
        <v>100</v>
      </c>
    </row>
    <row r="30" spans="1:6" ht="15" customHeight="1">
      <c r="A30" s="27" t="s">
        <v>24</v>
      </c>
      <c r="B30" s="29" t="s">
        <v>144</v>
      </c>
      <c r="C30" s="29" t="s">
        <v>140</v>
      </c>
      <c r="D30" s="30">
        <f>3752398.32</f>
        <v>3752398.32</v>
      </c>
      <c r="E30" s="31">
        <f>3751476.32</f>
        <v>3751476.32</v>
      </c>
      <c r="F30" s="31">
        <f>99.98</f>
        <v>99.98</v>
      </c>
    </row>
    <row r="31" spans="1:6" ht="12.75">
      <c r="A31" s="27" t="s">
        <v>25</v>
      </c>
      <c r="B31" s="29" t="s">
        <v>144</v>
      </c>
      <c r="C31" s="29" t="s">
        <v>144</v>
      </c>
      <c r="D31" s="30">
        <f>400295</f>
        <v>400295</v>
      </c>
      <c r="E31" s="31">
        <f>400295</f>
        <v>400295</v>
      </c>
      <c r="F31" s="31">
        <f>100</f>
        <v>100</v>
      </c>
    </row>
    <row r="32" spans="1:6" ht="12.75">
      <c r="A32" s="27" t="s">
        <v>26</v>
      </c>
      <c r="B32" s="29" t="s">
        <v>146</v>
      </c>
      <c r="C32" s="29" t="s">
        <v>138</v>
      </c>
      <c r="D32" s="30">
        <f>644010.65</f>
        <v>644010.65</v>
      </c>
      <c r="E32" s="31">
        <f>644009.51</f>
        <v>644009.51</v>
      </c>
      <c r="F32" s="31">
        <f>100</f>
        <v>100</v>
      </c>
    </row>
    <row r="33" spans="1:6" ht="12.75">
      <c r="A33" s="27" t="s">
        <v>27</v>
      </c>
      <c r="B33" s="29" t="s">
        <v>146</v>
      </c>
      <c r="C33" s="29" t="s">
        <v>146</v>
      </c>
      <c r="D33" s="30">
        <f>644010.65</f>
        <v>644010.65</v>
      </c>
      <c r="E33" s="31">
        <f>644009.51</f>
        <v>644009.51</v>
      </c>
      <c r="F33" s="31">
        <f>100</f>
        <v>100</v>
      </c>
    </row>
    <row r="34" spans="1:6" ht="12.75">
      <c r="A34" s="27" t="s">
        <v>28</v>
      </c>
      <c r="B34" s="29" t="s">
        <v>148</v>
      </c>
      <c r="C34" s="29" t="s">
        <v>138</v>
      </c>
      <c r="D34" s="30">
        <f>14573867.66</f>
        <v>14573867.66</v>
      </c>
      <c r="E34" s="31">
        <f>13979834.2</f>
        <v>13979834.2</v>
      </c>
      <c r="F34" s="31">
        <f>95.92</f>
        <v>95.92</v>
      </c>
    </row>
    <row r="35" spans="1:6" ht="12.75">
      <c r="A35" s="27" t="s">
        <v>29</v>
      </c>
      <c r="B35" s="29" t="s">
        <v>148</v>
      </c>
      <c r="C35" s="29" t="s">
        <v>37</v>
      </c>
      <c r="D35" s="30">
        <f>14573867.66</f>
        <v>14573867.66</v>
      </c>
      <c r="E35" s="31">
        <f>13979834.2</f>
        <v>13979834.2</v>
      </c>
      <c r="F35" s="31">
        <f>95.92</f>
        <v>95.92</v>
      </c>
    </row>
    <row r="36" spans="1:6" ht="12.75">
      <c r="A36" s="27" t="s">
        <v>30</v>
      </c>
      <c r="B36" s="29" t="s">
        <v>142</v>
      </c>
      <c r="C36" s="29" t="s">
        <v>138</v>
      </c>
      <c r="D36" s="30">
        <f>579876</f>
        <v>579876</v>
      </c>
      <c r="E36" s="31">
        <f>579876</f>
        <v>579876</v>
      </c>
      <c r="F36" s="31">
        <f>100</f>
        <v>100</v>
      </c>
    </row>
    <row r="37" spans="1:6" ht="12.75">
      <c r="A37" s="27" t="s">
        <v>31</v>
      </c>
      <c r="B37" s="29" t="s">
        <v>142</v>
      </c>
      <c r="C37" s="29" t="s">
        <v>37</v>
      </c>
      <c r="D37" s="30">
        <f>579876</f>
        <v>579876</v>
      </c>
      <c r="E37" s="31">
        <f>579876</f>
        <v>579876</v>
      </c>
      <c r="F37" s="31">
        <f>100</f>
        <v>100</v>
      </c>
    </row>
    <row r="38" spans="1:6" ht="12.75">
      <c r="A38" s="27" t="s">
        <v>33</v>
      </c>
      <c r="B38" s="29" t="s">
        <v>150</v>
      </c>
      <c r="C38" s="29" t="s">
        <v>138</v>
      </c>
      <c r="D38" s="30">
        <f>10000</f>
        <v>10000</v>
      </c>
      <c r="E38" s="31">
        <f>5200</f>
        <v>5200</v>
      </c>
      <c r="F38" s="31">
        <f>52</f>
        <v>52</v>
      </c>
    </row>
    <row r="39" spans="1:6" s="1" customFormat="1" ht="12.75">
      <c r="A39" s="27" t="s">
        <v>128</v>
      </c>
      <c r="B39" s="29" t="s">
        <v>150</v>
      </c>
      <c r="C39" s="29" t="s">
        <v>38</v>
      </c>
      <c r="D39" s="30">
        <f>10000</f>
        <v>10000</v>
      </c>
      <c r="E39" s="31">
        <f>5200</f>
        <v>5200</v>
      </c>
      <c r="F39" s="31">
        <f>52</f>
        <v>52</v>
      </c>
    </row>
    <row r="40" spans="1:6" ht="12.75">
      <c r="A40" s="27" t="s">
        <v>76</v>
      </c>
      <c r="B40" s="29"/>
      <c r="C40" s="29"/>
      <c r="D40" s="30">
        <f>60772541.08</f>
        <v>60772541.08</v>
      </c>
      <c r="E40" s="31">
        <f>55097463.03</f>
        <v>55097463.03</v>
      </c>
      <c r="F40" s="31">
        <f>90.66</f>
        <v>90.66</v>
      </c>
    </row>
  </sheetData>
  <sheetProtection/>
  <autoFilter ref="A10:L39"/>
  <mergeCells count="6">
    <mergeCell ref="F8:F9"/>
    <mergeCell ref="A6:F6"/>
    <mergeCell ref="A8:A9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8.28125" style="3" customWidth="1"/>
    <col min="2" max="2" width="7.00390625" style="3" customWidth="1"/>
    <col min="3" max="4" width="7.140625" style="21" customWidth="1"/>
    <col min="5" max="5" width="13.140625" style="21" customWidth="1"/>
    <col min="6" max="6" width="8.00390625" style="3" customWidth="1"/>
    <col min="7" max="8" width="17.28125" style="3" customWidth="1"/>
    <col min="9" max="16384" width="8.8515625" style="3" customWidth="1"/>
  </cols>
  <sheetData>
    <row r="1" ht="15">
      <c r="H1" s="2" t="s">
        <v>36</v>
      </c>
    </row>
    <row r="2" ht="15">
      <c r="H2" s="2" t="s">
        <v>60</v>
      </c>
    </row>
    <row r="3" ht="15">
      <c r="H3" s="2" t="s">
        <v>61</v>
      </c>
    </row>
    <row r="4" ht="15">
      <c r="H4" s="2" t="s">
        <v>348</v>
      </c>
    </row>
    <row r="5" ht="15">
      <c r="H5" s="2" t="s">
        <v>69</v>
      </c>
    </row>
    <row r="6" spans="1:9" ht="15">
      <c r="A6" s="64" t="s">
        <v>347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64" t="s">
        <v>161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22"/>
      <c r="B8" s="22"/>
      <c r="C8" s="23"/>
      <c r="D8" s="23"/>
      <c r="E8" s="23"/>
      <c r="F8" s="24"/>
      <c r="G8" s="11"/>
      <c r="I8" s="11" t="s">
        <v>62</v>
      </c>
    </row>
    <row r="9" spans="1:9" s="6" customFormat="1" ht="19.5" customHeight="1">
      <c r="A9" s="61" t="s">
        <v>79</v>
      </c>
      <c r="B9" s="63" t="s">
        <v>80</v>
      </c>
      <c r="C9" s="63"/>
      <c r="D9" s="63"/>
      <c r="E9" s="63"/>
      <c r="F9" s="63"/>
      <c r="G9" s="61" t="s">
        <v>155</v>
      </c>
      <c r="H9" s="61" t="s">
        <v>81</v>
      </c>
      <c r="I9" s="61" t="s">
        <v>156</v>
      </c>
    </row>
    <row r="10" spans="1:9" s="6" customFormat="1" ht="46.5">
      <c r="A10" s="62"/>
      <c r="B10" s="5" t="s">
        <v>130</v>
      </c>
      <c r="C10" s="7" t="s">
        <v>136</v>
      </c>
      <c r="D10" s="7" t="s">
        <v>137</v>
      </c>
      <c r="E10" s="14" t="s">
        <v>42</v>
      </c>
      <c r="F10" s="5" t="s">
        <v>59</v>
      </c>
      <c r="G10" s="62"/>
      <c r="H10" s="62"/>
      <c r="I10" s="62"/>
    </row>
    <row r="11" spans="1:9" ht="15">
      <c r="A11" s="8">
        <v>1</v>
      </c>
      <c r="B11" s="8">
        <v>2</v>
      </c>
      <c r="C11" s="9" t="s">
        <v>56</v>
      </c>
      <c r="D11" s="9" t="s">
        <v>1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15">
      <c r="A12" s="27" t="s">
        <v>168</v>
      </c>
      <c r="B12" s="28" t="s">
        <v>70</v>
      </c>
      <c r="C12" s="29" t="s">
        <v>58</v>
      </c>
      <c r="D12" s="29"/>
      <c r="E12" s="28" t="s">
        <v>58</v>
      </c>
      <c r="F12" s="28" t="s">
        <v>58</v>
      </c>
      <c r="G12" s="30">
        <f>60772541.08</f>
        <v>60772541.08</v>
      </c>
      <c r="H12" s="31">
        <f>55097463.03</f>
        <v>55097463.03</v>
      </c>
      <c r="I12" s="31">
        <f>90.66</f>
        <v>90.66</v>
      </c>
    </row>
    <row r="13" spans="1:9" ht="15">
      <c r="A13" s="27" t="s">
        <v>3</v>
      </c>
      <c r="B13" s="28" t="s">
        <v>70</v>
      </c>
      <c r="C13" s="29" t="s">
        <v>37</v>
      </c>
      <c r="D13" s="29" t="s">
        <v>138</v>
      </c>
      <c r="E13" s="28" t="s">
        <v>58</v>
      </c>
      <c r="F13" s="28" t="s">
        <v>58</v>
      </c>
      <c r="G13" s="30">
        <f>27986142.65</f>
        <v>27986142.65</v>
      </c>
      <c r="H13" s="31">
        <f>27025905.02</f>
        <v>27025905.02</v>
      </c>
      <c r="I13" s="31">
        <f>96.57</f>
        <v>96.57</v>
      </c>
    </row>
    <row r="14" spans="1:9" ht="26.25">
      <c r="A14" s="27" t="s">
        <v>4</v>
      </c>
      <c r="B14" s="28" t="s">
        <v>70</v>
      </c>
      <c r="C14" s="29" t="s">
        <v>37</v>
      </c>
      <c r="D14" s="29" t="s">
        <v>38</v>
      </c>
      <c r="E14" s="28" t="s">
        <v>58</v>
      </c>
      <c r="F14" s="28" t="s">
        <v>58</v>
      </c>
      <c r="G14" s="30">
        <f aca="true" t="shared" si="0" ref="G14:H20">2388477.74</f>
        <v>2388477.74</v>
      </c>
      <c r="H14" s="31">
        <f t="shared" si="0"/>
        <v>2388477.74</v>
      </c>
      <c r="I14" s="31">
        <f aca="true" t="shared" si="1" ref="I14:I20">100</f>
        <v>100</v>
      </c>
    </row>
    <row r="15" spans="1:9" ht="39">
      <c r="A15" s="27" t="s">
        <v>199</v>
      </c>
      <c r="B15" s="28" t="s">
        <v>70</v>
      </c>
      <c r="C15" s="29" t="s">
        <v>37</v>
      </c>
      <c r="D15" s="29" t="s">
        <v>38</v>
      </c>
      <c r="E15" s="28" t="s">
        <v>200</v>
      </c>
      <c r="F15" s="28" t="s">
        <v>58</v>
      </c>
      <c r="G15" s="30">
        <f t="shared" si="0"/>
        <v>2388477.74</v>
      </c>
      <c r="H15" s="31">
        <f t="shared" si="0"/>
        <v>2388477.74</v>
      </c>
      <c r="I15" s="31">
        <f t="shared" si="1"/>
        <v>100</v>
      </c>
    </row>
    <row r="16" spans="1:9" ht="66">
      <c r="A16" s="27" t="s">
        <v>201</v>
      </c>
      <c r="B16" s="28" t="s">
        <v>70</v>
      </c>
      <c r="C16" s="29" t="s">
        <v>37</v>
      </c>
      <c r="D16" s="29" t="s">
        <v>38</v>
      </c>
      <c r="E16" s="28" t="s">
        <v>202</v>
      </c>
      <c r="F16" s="28" t="s">
        <v>58</v>
      </c>
      <c r="G16" s="30">
        <f t="shared" si="0"/>
        <v>2388477.74</v>
      </c>
      <c r="H16" s="31">
        <f t="shared" si="0"/>
        <v>2388477.74</v>
      </c>
      <c r="I16" s="31">
        <f t="shared" si="1"/>
        <v>100</v>
      </c>
    </row>
    <row r="17" spans="1:9" ht="78.75">
      <c r="A17" s="27" t="s">
        <v>203</v>
      </c>
      <c r="B17" s="28" t="s">
        <v>70</v>
      </c>
      <c r="C17" s="29" t="s">
        <v>37</v>
      </c>
      <c r="D17" s="29" t="s">
        <v>38</v>
      </c>
      <c r="E17" s="28" t="s">
        <v>204</v>
      </c>
      <c r="F17" s="28" t="s">
        <v>58</v>
      </c>
      <c r="G17" s="30">
        <f t="shared" si="0"/>
        <v>2388477.74</v>
      </c>
      <c r="H17" s="31">
        <f t="shared" si="0"/>
        <v>2388477.74</v>
      </c>
      <c r="I17" s="31">
        <f t="shared" si="1"/>
        <v>100</v>
      </c>
    </row>
    <row r="18" spans="1:9" ht="26.25">
      <c r="A18" s="27" t="s">
        <v>205</v>
      </c>
      <c r="B18" s="28" t="s">
        <v>70</v>
      </c>
      <c r="C18" s="29" t="s">
        <v>37</v>
      </c>
      <c r="D18" s="29" t="s">
        <v>38</v>
      </c>
      <c r="E18" s="28" t="s">
        <v>206</v>
      </c>
      <c r="F18" s="28" t="s">
        <v>58</v>
      </c>
      <c r="G18" s="30">
        <f t="shared" si="0"/>
        <v>2388477.74</v>
      </c>
      <c r="H18" s="31">
        <f t="shared" si="0"/>
        <v>2388477.74</v>
      </c>
      <c r="I18" s="31">
        <f t="shared" si="1"/>
        <v>100</v>
      </c>
    </row>
    <row r="19" spans="1:9" ht="66">
      <c r="A19" s="27" t="s">
        <v>5</v>
      </c>
      <c r="B19" s="28" t="s">
        <v>70</v>
      </c>
      <c r="C19" s="29" t="s">
        <v>37</v>
      </c>
      <c r="D19" s="29" t="s">
        <v>38</v>
      </c>
      <c r="E19" s="28" t="s">
        <v>206</v>
      </c>
      <c r="F19" s="28" t="s">
        <v>43</v>
      </c>
      <c r="G19" s="30">
        <f t="shared" si="0"/>
        <v>2388477.74</v>
      </c>
      <c r="H19" s="31">
        <f t="shared" si="0"/>
        <v>2388477.74</v>
      </c>
      <c r="I19" s="31">
        <f t="shared" si="1"/>
        <v>100</v>
      </c>
    </row>
    <row r="20" spans="1:9" ht="26.25">
      <c r="A20" s="27" t="s">
        <v>6</v>
      </c>
      <c r="B20" s="28" t="s">
        <v>70</v>
      </c>
      <c r="C20" s="29" t="s">
        <v>37</v>
      </c>
      <c r="D20" s="29" t="s">
        <v>38</v>
      </c>
      <c r="E20" s="28" t="s">
        <v>206</v>
      </c>
      <c r="F20" s="28" t="s">
        <v>44</v>
      </c>
      <c r="G20" s="30">
        <f t="shared" si="0"/>
        <v>2388477.74</v>
      </c>
      <c r="H20" s="31">
        <f t="shared" si="0"/>
        <v>2388477.74</v>
      </c>
      <c r="I20" s="31">
        <f t="shared" si="1"/>
        <v>100</v>
      </c>
    </row>
    <row r="21" spans="1:9" ht="52.5">
      <c r="A21" s="27" t="s">
        <v>7</v>
      </c>
      <c r="B21" s="28" t="s">
        <v>70</v>
      </c>
      <c r="C21" s="29" t="s">
        <v>37</v>
      </c>
      <c r="D21" s="29" t="s">
        <v>139</v>
      </c>
      <c r="E21" s="28" t="s">
        <v>58</v>
      </c>
      <c r="F21" s="28" t="s">
        <v>58</v>
      </c>
      <c r="G21" s="30">
        <f>11645690.64</f>
        <v>11645690.64</v>
      </c>
      <c r="H21" s="31">
        <f>11616254.82</f>
        <v>11616254.82</v>
      </c>
      <c r="I21" s="31">
        <f>99.75</f>
        <v>99.75</v>
      </c>
    </row>
    <row r="22" spans="1:9" ht="39">
      <c r="A22" s="27" t="s">
        <v>199</v>
      </c>
      <c r="B22" s="28" t="s">
        <v>70</v>
      </c>
      <c r="C22" s="29" t="s">
        <v>37</v>
      </c>
      <c r="D22" s="29" t="s">
        <v>139</v>
      </c>
      <c r="E22" s="28" t="s">
        <v>200</v>
      </c>
      <c r="F22" s="28" t="s">
        <v>58</v>
      </c>
      <c r="G22" s="30">
        <f>11645690.64</f>
        <v>11645690.64</v>
      </c>
      <c r="H22" s="31">
        <f>11616254.82</f>
        <v>11616254.82</v>
      </c>
      <c r="I22" s="31">
        <f>99.75</f>
        <v>99.75</v>
      </c>
    </row>
    <row r="23" spans="1:9" ht="66">
      <c r="A23" s="27" t="s">
        <v>201</v>
      </c>
      <c r="B23" s="28" t="s">
        <v>70</v>
      </c>
      <c r="C23" s="29" t="s">
        <v>37</v>
      </c>
      <c r="D23" s="29" t="s">
        <v>139</v>
      </c>
      <c r="E23" s="28" t="s">
        <v>202</v>
      </c>
      <c r="F23" s="28" t="s">
        <v>58</v>
      </c>
      <c r="G23" s="30">
        <f>11645690.64</f>
        <v>11645690.64</v>
      </c>
      <c r="H23" s="31">
        <f>11616254.82</f>
        <v>11616254.82</v>
      </c>
      <c r="I23" s="31">
        <f>99.75</f>
        <v>99.75</v>
      </c>
    </row>
    <row r="24" spans="1:9" ht="78.75">
      <c r="A24" s="27" t="s">
        <v>203</v>
      </c>
      <c r="B24" s="28" t="s">
        <v>70</v>
      </c>
      <c r="C24" s="29" t="s">
        <v>37</v>
      </c>
      <c r="D24" s="29" t="s">
        <v>139</v>
      </c>
      <c r="E24" s="28" t="s">
        <v>204</v>
      </c>
      <c r="F24" s="28" t="s">
        <v>58</v>
      </c>
      <c r="G24" s="30">
        <f>11645690.64</f>
        <v>11645690.64</v>
      </c>
      <c r="H24" s="31">
        <f>11616254.82</f>
        <v>11616254.82</v>
      </c>
      <c r="I24" s="31">
        <f>99.75</f>
        <v>99.75</v>
      </c>
    </row>
    <row r="25" spans="1:9" ht="26.25">
      <c r="A25" s="27" t="s">
        <v>74</v>
      </c>
      <c r="B25" s="28" t="s">
        <v>70</v>
      </c>
      <c r="C25" s="29" t="s">
        <v>37</v>
      </c>
      <c r="D25" s="29" t="s">
        <v>139</v>
      </c>
      <c r="E25" s="28" t="s">
        <v>207</v>
      </c>
      <c r="F25" s="28" t="s">
        <v>58</v>
      </c>
      <c r="G25" s="30">
        <f>11645690.64</f>
        <v>11645690.64</v>
      </c>
      <c r="H25" s="31">
        <f>11616254.82</f>
        <v>11616254.82</v>
      </c>
      <c r="I25" s="31">
        <f>99.75</f>
        <v>99.75</v>
      </c>
    </row>
    <row r="26" spans="1:9" ht="66">
      <c r="A26" s="27" t="s">
        <v>5</v>
      </c>
      <c r="B26" s="28" t="s">
        <v>70</v>
      </c>
      <c r="C26" s="29" t="s">
        <v>37</v>
      </c>
      <c r="D26" s="29" t="s">
        <v>139</v>
      </c>
      <c r="E26" s="28" t="s">
        <v>207</v>
      </c>
      <c r="F26" s="28" t="s">
        <v>43</v>
      </c>
      <c r="G26" s="30">
        <f>11423709.64</f>
        <v>11423709.64</v>
      </c>
      <c r="H26" s="31">
        <f>11394273.82</f>
        <v>11394273.82</v>
      </c>
      <c r="I26" s="31">
        <f>99.74</f>
        <v>99.74</v>
      </c>
    </row>
    <row r="27" spans="1:9" ht="26.25">
      <c r="A27" s="27" t="s">
        <v>6</v>
      </c>
      <c r="B27" s="28" t="s">
        <v>70</v>
      </c>
      <c r="C27" s="29" t="s">
        <v>37</v>
      </c>
      <c r="D27" s="29" t="s">
        <v>139</v>
      </c>
      <c r="E27" s="28" t="s">
        <v>207</v>
      </c>
      <c r="F27" s="28" t="s">
        <v>44</v>
      </c>
      <c r="G27" s="30">
        <f>11423709.64</f>
        <v>11423709.64</v>
      </c>
      <c r="H27" s="31">
        <f>11394273.82</f>
        <v>11394273.82</v>
      </c>
      <c r="I27" s="31">
        <f>99.74</f>
        <v>99.74</v>
      </c>
    </row>
    <row r="28" spans="1:9" ht="15">
      <c r="A28" s="27" t="s">
        <v>8</v>
      </c>
      <c r="B28" s="28" t="s">
        <v>70</v>
      </c>
      <c r="C28" s="29" t="s">
        <v>37</v>
      </c>
      <c r="D28" s="29" t="s">
        <v>139</v>
      </c>
      <c r="E28" s="28" t="s">
        <v>207</v>
      </c>
      <c r="F28" s="28" t="s">
        <v>45</v>
      </c>
      <c r="G28" s="30">
        <f>221981</f>
        <v>221981</v>
      </c>
      <c r="H28" s="31">
        <f>221981</f>
        <v>221981</v>
      </c>
      <c r="I28" s="31">
        <f aca="true" t="shared" si="2" ref="I28:I34">100</f>
        <v>100</v>
      </c>
    </row>
    <row r="29" spans="1:9" ht="15">
      <c r="A29" s="27" t="s">
        <v>2</v>
      </c>
      <c r="B29" s="28" t="s">
        <v>70</v>
      </c>
      <c r="C29" s="29" t="s">
        <v>37</v>
      </c>
      <c r="D29" s="29" t="s">
        <v>139</v>
      </c>
      <c r="E29" s="28" t="s">
        <v>207</v>
      </c>
      <c r="F29" s="28" t="s">
        <v>46</v>
      </c>
      <c r="G29" s="30">
        <f>221981</f>
        <v>221981</v>
      </c>
      <c r="H29" s="31">
        <f>221981</f>
        <v>221981</v>
      </c>
      <c r="I29" s="31">
        <f t="shared" si="2"/>
        <v>100</v>
      </c>
    </row>
    <row r="30" spans="1:9" ht="15">
      <c r="A30" s="27" t="s">
        <v>208</v>
      </c>
      <c r="B30" s="28" t="s">
        <v>70</v>
      </c>
      <c r="C30" s="29" t="s">
        <v>37</v>
      </c>
      <c r="D30" s="29" t="s">
        <v>146</v>
      </c>
      <c r="E30" s="28" t="s">
        <v>58</v>
      </c>
      <c r="F30" s="28" t="s">
        <v>58</v>
      </c>
      <c r="G30" s="30">
        <f aca="true" t="shared" si="3" ref="G30:H34">556164</f>
        <v>556164</v>
      </c>
      <c r="H30" s="31">
        <f t="shared" si="3"/>
        <v>556164</v>
      </c>
      <c r="I30" s="31">
        <f t="shared" si="2"/>
        <v>100</v>
      </c>
    </row>
    <row r="31" spans="1:9" ht="15">
      <c r="A31" s="27" t="s">
        <v>73</v>
      </c>
      <c r="B31" s="28" t="s">
        <v>70</v>
      </c>
      <c r="C31" s="29" t="s">
        <v>37</v>
      </c>
      <c r="D31" s="29" t="s">
        <v>146</v>
      </c>
      <c r="E31" s="28" t="s">
        <v>53</v>
      </c>
      <c r="F31" s="28" t="s">
        <v>58</v>
      </c>
      <c r="G31" s="30">
        <f t="shared" si="3"/>
        <v>556164</v>
      </c>
      <c r="H31" s="31">
        <f t="shared" si="3"/>
        <v>556164</v>
      </c>
      <c r="I31" s="31">
        <f t="shared" si="2"/>
        <v>100</v>
      </c>
    </row>
    <row r="32" spans="1:9" ht="39">
      <c r="A32" s="27" t="s">
        <v>209</v>
      </c>
      <c r="B32" s="28" t="s">
        <v>70</v>
      </c>
      <c r="C32" s="29" t="s">
        <v>37</v>
      </c>
      <c r="D32" s="29" t="s">
        <v>146</v>
      </c>
      <c r="E32" s="28" t="s">
        <v>210</v>
      </c>
      <c r="F32" s="28" t="s">
        <v>58</v>
      </c>
      <c r="G32" s="30">
        <f t="shared" si="3"/>
        <v>556164</v>
      </c>
      <c r="H32" s="31">
        <f t="shared" si="3"/>
        <v>556164</v>
      </c>
      <c r="I32" s="31">
        <f t="shared" si="2"/>
        <v>100</v>
      </c>
    </row>
    <row r="33" spans="1:9" ht="15">
      <c r="A33" s="27" t="s">
        <v>12</v>
      </c>
      <c r="B33" s="28" t="s">
        <v>70</v>
      </c>
      <c r="C33" s="29" t="s">
        <v>37</v>
      </c>
      <c r="D33" s="29" t="s">
        <v>146</v>
      </c>
      <c r="E33" s="28" t="s">
        <v>210</v>
      </c>
      <c r="F33" s="28" t="s">
        <v>49</v>
      </c>
      <c r="G33" s="30">
        <f t="shared" si="3"/>
        <v>556164</v>
      </c>
      <c r="H33" s="31">
        <f t="shared" si="3"/>
        <v>556164</v>
      </c>
      <c r="I33" s="31">
        <f t="shared" si="2"/>
        <v>100</v>
      </c>
    </row>
    <row r="34" spans="1:9" ht="15">
      <c r="A34" s="27" t="s">
        <v>211</v>
      </c>
      <c r="B34" s="28" t="s">
        <v>70</v>
      </c>
      <c r="C34" s="29" t="s">
        <v>37</v>
      </c>
      <c r="D34" s="29" t="s">
        <v>146</v>
      </c>
      <c r="E34" s="28" t="s">
        <v>210</v>
      </c>
      <c r="F34" s="28" t="s">
        <v>212</v>
      </c>
      <c r="G34" s="30">
        <f t="shared" si="3"/>
        <v>556164</v>
      </c>
      <c r="H34" s="31">
        <f t="shared" si="3"/>
        <v>556164</v>
      </c>
      <c r="I34" s="31">
        <f t="shared" si="2"/>
        <v>100</v>
      </c>
    </row>
    <row r="35" spans="1:9" ht="15">
      <c r="A35" s="27" t="s">
        <v>157</v>
      </c>
      <c r="B35" s="28" t="s">
        <v>70</v>
      </c>
      <c r="C35" s="29" t="s">
        <v>37</v>
      </c>
      <c r="D35" s="29" t="s">
        <v>150</v>
      </c>
      <c r="E35" s="28" t="s">
        <v>58</v>
      </c>
      <c r="F35" s="28" t="s">
        <v>58</v>
      </c>
      <c r="G35" s="30">
        <f>10000</f>
        <v>10000</v>
      </c>
      <c r="H35" s="27" t="s">
        <v>58</v>
      </c>
      <c r="I35" s="27" t="s">
        <v>58</v>
      </c>
    </row>
    <row r="36" spans="1:9" ht="15">
      <c r="A36" s="27" t="s">
        <v>73</v>
      </c>
      <c r="B36" s="28" t="s">
        <v>70</v>
      </c>
      <c r="C36" s="29" t="s">
        <v>37</v>
      </c>
      <c r="D36" s="29" t="s">
        <v>150</v>
      </c>
      <c r="E36" s="28" t="s">
        <v>53</v>
      </c>
      <c r="F36" s="28" t="s">
        <v>58</v>
      </c>
      <c r="G36" s="30">
        <f>10000</f>
        <v>10000</v>
      </c>
      <c r="H36" s="27" t="s">
        <v>58</v>
      </c>
      <c r="I36" s="27" t="s">
        <v>58</v>
      </c>
    </row>
    <row r="37" spans="1:9" ht="15">
      <c r="A37" s="27" t="s">
        <v>158</v>
      </c>
      <c r="B37" s="28" t="s">
        <v>70</v>
      </c>
      <c r="C37" s="29" t="s">
        <v>37</v>
      </c>
      <c r="D37" s="29" t="s">
        <v>150</v>
      </c>
      <c r="E37" s="28" t="s">
        <v>171</v>
      </c>
      <c r="F37" s="28" t="s">
        <v>58</v>
      </c>
      <c r="G37" s="30">
        <f>10000</f>
        <v>10000</v>
      </c>
      <c r="H37" s="27" t="s">
        <v>58</v>
      </c>
      <c r="I37" s="27" t="s">
        <v>58</v>
      </c>
    </row>
    <row r="38" spans="1:9" ht="15">
      <c r="A38" s="27" t="s">
        <v>12</v>
      </c>
      <c r="B38" s="28" t="s">
        <v>70</v>
      </c>
      <c r="C38" s="29" t="s">
        <v>37</v>
      </c>
      <c r="D38" s="29" t="s">
        <v>150</v>
      </c>
      <c r="E38" s="28" t="s">
        <v>171</v>
      </c>
      <c r="F38" s="28" t="s">
        <v>49</v>
      </c>
      <c r="G38" s="30">
        <f>10000</f>
        <v>10000</v>
      </c>
      <c r="H38" s="27" t="s">
        <v>58</v>
      </c>
      <c r="I38" s="27" t="s">
        <v>58</v>
      </c>
    </row>
    <row r="39" spans="1:9" ht="15">
      <c r="A39" s="27" t="s">
        <v>213</v>
      </c>
      <c r="B39" s="28" t="s">
        <v>70</v>
      </c>
      <c r="C39" s="29" t="s">
        <v>37</v>
      </c>
      <c r="D39" s="29" t="s">
        <v>150</v>
      </c>
      <c r="E39" s="28" t="s">
        <v>171</v>
      </c>
      <c r="F39" s="28" t="s">
        <v>159</v>
      </c>
      <c r="G39" s="30">
        <f>10000</f>
        <v>10000</v>
      </c>
      <c r="H39" s="27" t="s">
        <v>58</v>
      </c>
      <c r="I39" s="27" t="s">
        <v>58</v>
      </c>
    </row>
    <row r="40" spans="1:9" ht="15">
      <c r="A40" s="27" t="s">
        <v>9</v>
      </c>
      <c r="B40" s="28" t="s">
        <v>70</v>
      </c>
      <c r="C40" s="29" t="s">
        <v>37</v>
      </c>
      <c r="D40" s="29" t="s">
        <v>39</v>
      </c>
      <c r="E40" s="28" t="s">
        <v>58</v>
      </c>
      <c r="F40" s="28" t="s">
        <v>58</v>
      </c>
      <c r="G40" s="30">
        <f>13385810.27</f>
        <v>13385810.27</v>
      </c>
      <c r="H40" s="31">
        <f>12465008.46</f>
        <v>12465008.46</v>
      </c>
      <c r="I40" s="31">
        <f>93.12</f>
        <v>93.12</v>
      </c>
    </row>
    <row r="41" spans="1:9" ht="39">
      <c r="A41" s="27" t="s">
        <v>199</v>
      </c>
      <c r="B41" s="28" t="s">
        <v>70</v>
      </c>
      <c r="C41" s="29" t="s">
        <v>37</v>
      </c>
      <c r="D41" s="29" t="s">
        <v>39</v>
      </c>
      <c r="E41" s="28" t="s">
        <v>200</v>
      </c>
      <c r="F41" s="28" t="s">
        <v>58</v>
      </c>
      <c r="G41" s="30">
        <f>13041030.27</f>
        <v>13041030.27</v>
      </c>
      <c r="H41" s="31">
        <f>12316308.46</f>
        <v>12316308.46</v>
      </c>
      <c r="I41" s="31">
        <f>94.44</f>
        <v>94.44</v>
      </c>
    </row>
    <row r="42" spans="1:9" ht="66">
      <c r="A42" s="27" t="s">
        <v>201</v>
      </c>
      <c r="B42" s="28" t="s">
        <v>70</v>
      </c>
      <c r="C42" s="29" t="s">
        <v>37</v>
      </c>
      <c r="D42" s="29" t="s">
        <v>39</v>
      </c>
      <c r="E42" s="28" t="s">
        <v>202</v>
      </c>
      <c r="F42" s="28" t="s">
        <v>58</v>
      </c>
      <c r="G42" s="30">
        <f>13041030.27</f>
        <v>13041030.27</v>
      </c>
      <c r="H42" s="31">
        <f>12316308.46</f>
        <v>12316308.46</v>
      </c>
      <c r="I42" s="31">
        <f>94.44</f>
        <v>94.44</v>
      </c>
    </row>
    <row r="43" spans="1:9" ht="78.75">
      <c r="A43" s="27" t="s">
        <v>203</v>
      </c>
      <c r="B43" s="28" t="s">
        <v>70</v>
      </c>
      <c r="C43" s="29" t="s">
        <v>37</v>
      </c>
      <c r="D43" s="29" t="s">
        <v>39</v>
      </c>
      <c r="E43" s="28" t="s">
        <v>204</v>
      </c>
      <c r="F43" s="28" t="s">
        <v>58</v>
      </c>
      <c r="G43" s="30">
        <f>13010110.82</f>
        <v>13010110.82</v>
      </c>
      <c r="H43" s="31">
        <f>12301407.21</f>
        <v>12301407.21</v>
      </c>
      <c r="I43" s="31">
        <f>94.55</f>
        <v>94.55</v>
      </c>
    </row>
    <row r="44" spans="1:9" ht="26.25">
      <c r="A44" s="27" t="s">
        <v>118</v>
      </c>
      <c r="B44" s="28" t="s">
        <v>70</v>
      </c>
      <c r="C44" s="29" t="s">
        <v>37</v>
      </c>
      <c r="D44" s="29" t="s">
        <v>39</v>
      </c>
      <c r="E44" s="28" t="s">
        <v>214</v>
      </c>
      <c r="F44" s="28" t="s">
        <v>58</v>
      </c>
      <c r="G44" s="30">
        <f>11984705.45</f>
        <v>11984705.45</v>
      </c>
      <c r="H44" s="31">
        <f>11610953.84</f>
        <v>11610953.84</v>
      </c>
      <c r="I44" s="31">
        <f>96.88</f>
        <v>96.88</v>
      </c>
    </row>
    <row r="45" spans="1:9" ht="66">
      <c r="A45" s="27" t="s">
        <v>5</v>
      </c>
      <c r="B45" s="28" t="s">
        <v>70</v>
      </c>
      <c r="C45" s="29" t="s">
        <v>37</v>
      </c>
      <c r="D45" s="29" t="s">
        <v>39</v>
      </c>
      <c r="E45" s="28" t="s">
        <v>214</v>
      </c>
      <c r="F45" s="28" t="s">
        <v>43</v>
      </c>
      <c r="G45" s="30">
        <f>10952734.4</f>
        <v>10952734.4</v>
      </c>
      <c r="H45" s="31">
        <f>10652167.33</f>
        <v>10652167.33</v>
      </c>
      <c r="I45" s="31">
        <f>97.26</f>
        <v>97.26</v>
      </c>
    </row>
    <row r="46" spans="1:9" ht="15">
      <c r="A46" s="27" t="s">
        <v>57</v>
      </c>
      <c r="B46" s="28" t="s">
        <v>70</v>
      </c>
      <c r="C46" s="29" t="s">
        <v>37</v>
      </c>
      <c r="D46" s="29" t="s">
        <v>39</v>
      </c>
      <c r="E46" s="28" t="s">
        <v>214</v>
      </c>
      <c r="F46" s="28" t="s">
        <v>51</v>
      </c>
      <c r="G46" s="30">
        <f>10952734.4</f>
        <v>10952734.4</v>
      </c>
      <c r="H46" s="31">
        <f>10652167.33</f>
        <v>10652167.33</v>
      </c>
      <c r="I46" s="31">
        <f>97.26</f>
        <v>97.26</v>
      </c>
    </row>
    <row r="47" spans="1:9" ht="26.25">
      <c r="A47" s="27" t="s">
        <v>10</v>
      </c>
      <c r="B47" s="28" t="s">
        <v>70</v>
      </c>
      <c r="C47" s="29" t="s">
        <v>37</v>
      </c>
      <c r="D47" s="29" t="s">
        <v>39</v>
      </c>
      <c r="E47" s="28" t="s">
        <v>214</v>
      </c>
      <c r="F47" s="28" t="s">
        <v>47</v>
      </c>
      <c r="G47" s="30">
        <f>1031971.05</f>
        <v>1031971.05</v>
      </c>
      <c r="H47" s="31">
        <f>958786.51</f>
        <v>958786.51</v>
      </c>
      <c r="I47" s="31">
        <f>92.91</f>
        <v>92.91</v>
      </c>
    </row>
    <row r="48" spans="1:9" ht="26.25">
      <c r="A48" s="27" t="s">
        <v>11</v>
      </c>
      <c r="B48" s="28" t="s">
        <v>70</v>
      </c>
      <c r="C48" s="29" t="s">
        <v>37</v>
      </c>
      <c r="D48" s="29" t="s">
        <v>39</v>
      </c>
      <c r="E48" s="28" t="s">
        <v>214</v>
      </c>
      <c r="F48" s="28" t="s">
        <v>48</v>
      </c>
      <c r="G48" s="30">
        <f>1031971.05</f>
        <v>1031971.05</v>
      </c>
      <c r="H48" s="31">
        <f>958786.51</f>
        <v>958786.51</v>
      </c>
      <c r="I48" s="31">
        <f>92.91</f>
        <v>92.91</v>
      </c>
    </row>
    <row r="49" spans="1:9" ht="15">
      <c r="A49" s="27" t="s">
        <v>117</v>
      </c>
      <c r="B49" s="28" t="s">
        <v>70</v>
      </c>
      <c r="C49" s="29" t="s">
        <v>37</v>
      </c>
      <c r="D49" s="29" t="s">
        <v>39</v>
      </c>
      <c r="E49" s="28" t="s">
        <v>215</v>
      </c>
      <c r="F49" s="28" t="s">
        <v>58</v>
      </c>
      <c r="G49" s="30">
        <f>1025405.37</f>
        <v>1025405.37</v>
      </c>
      <c r="H49" s="31">
        <f>690453.37</f>
        <v>690453.37</v>
      </c>
      <c r="I49" s="31">
        <f>67.33</f>
        <v>67.33</v>
      </c>
    </row>
    <row r="50" spans="1:9" ht="26.25">
      <c r="A50" s="27" t="s">
        <v>10</v>
      </c>
      <c r="B50" s="28" t="s">
        <v>70</v>
      </c>
      <c r="C50" s="29" t="s">
        <v>37</v>
      </c>
      <c r="D50" s="29" t="s">
        <v>39</v>
      </c>
      <c r="E50" s="28" t="s">
        <v>215</v>
      </c>
      <c r="F50" s="28" t="s">
        <v>47</v>
      </c>
      <c r="G50" s="30">
        <f>992794.97</f>
        <v>992794.97</v>
      </c>
      <c r="H50" s="31">
        <f>657842.97</f>
        <v>657842.97</v>
      </c>
      <c r="I50" s="31">
        <f>66.26</f>
        <v>66.26</v>
      </c>
    </row>
    <row r="51" spans="1:9" ht="26.25">
      <c r="A51" s="27" t="s">
        <v>11</v>
      </c>
      <c r="B51" s="28" t="s">
        <v>70</v>
      </c>
      <c r="C51" s="29" t="s">
        <v>37</v>
      </c>
      <c r="D51" s="29" t="s">
        <v>39</v>
      </c>
      <c r="E51" s="28" t="s">
        <v>215</v>
      </c>
      <c r="F51" s="28" t="s">
        <v>48</v>
      </c>
      <c r="G51" s="30">
        <f>992794.97</f>
        <v>992794.97</v>
      </c>
      <c r="H51" s="31">
        <f>657842.97</f>
        <v>657842.97</v>
      </c>
      <c r="I51" s="31">
        <f>66.26</f>
        <v>66.26</v>
      </c>
    </row>
    <row r="52" spans="1:9" ht="15">
      <c r="A52" s="27" t="s">
        <v>12</v>
      </c>
      <c r="B52" s="28" t="s">
        <v>70</v>
      </c>
      <c r="C52" s="29" t="s">
        <v>37</v>
      </c>
      <c r="D52" s="29" t="s">
        <v>39</v>
      </c>
      <c r="E52" s="28" t="s">
        <v>215</v>
      </c>
      <c r="F52" s="28" t="s">
        <v>49</v>
      </c>
      <c r="G52" s="30">
        <f>32610.4</f>
        <v>32610.4</v>
      </c>
      <c r="H52" s="31">
        <f>32610.4</f>
        <v>32610.4</v>
      </c>
      <c r="I52" s="31">
        <f>100</f>
        <v>100</v>
      </c>
    </row>
    <row r="53" spans="1:9" ht="15">
      <c r="A53" s="27" t="s">
        <v>13</v>
      </c>
      <c r="B53" s="28" t="s">
        <v>70</v>
      </c>
      <c r="C53" s="29" t="s">
        <v>37</v>
      </c>
      <c r="D53" s="29" t="s">
        <v>39</v>
      </c>
      <c r="E53" s="28" t="s">
        <v>215</v>
      </c>
      <c r="F53" s="28" t="s">
        <v>50</v>
      </c>
      <c r="G53" s="30">
        <f>32610.4</f>
        <v>32610.4</v>
      </c>
      <c r="H53" s="31">
        <f>32610.4</f>
        <v>32610.4</v>
      </c>
      <c r="I53" s="31">
        <f>100</f>
        <v>100</v>
      </c>
    </row>
    <row r="54" spans="1:9" ht="52.5">
      <c r="A54" s="27" t="s">
        <v>216</v>
      </c>
      <c r="B54" s="28" t="s">
        <v>70</v>
      </c>
      <c r="C54" s="29" t="s">
        <v>37</v>
      </c>
      <c r="D54" s="29" t="s">
        <v>39</v>
      </c>
      <c r="E54" s="28" t="s">
        <v>217</v>
      </c>
      <c r="F54" s="28" t="s">
        <v>58</v>
      </c>
      <c r="G54" s="30">
        <f>30919.45</f>
        <v>30919.45</v>
      </c>
      <c r="H54" s="31">
        <f>14901.25</f>
        <v>14901.25</v>
      </c>
      <c r="I54" s="31">
        <f>48.19</f>
        <v>48.19</v>
      </c>
    </row>
    <row r="55" spans="1:9" ht="15">
      <c r="A55" s="27" t="s">
        <v>117</v>
      </c>
      <c r="B55" s="28" t="s">
        <v>70</v>
      </c>
      <c r="C55" s="29" t="s">
        <v>37</v>
      </c>
      <c r="D55" s="29" t="s">
        <v>39</v>
      </c>
      <c r="E55" s="28" t="s">
        <v>218</v>
      </c>
      <c r="F55" s="28" t="s">
        <v>58</v>
      </c>
      <c r="G55" s="30">
        <f>30919.45</f>
        <v>30919.45</v>
      </c>
      <c r="H55" s="31">
        <f>14901.25</f>
        <v>14901.25</v>
      </c>
      <c r="I55" s="31">
        <f>48.19</f>
        <v>48.19</v>
      </c>
    </row>
    <row r="56" spans="1:9" ht="26.25">
      <c r="A56" s="27" t="s">
        <v>10</v>
      </c>
      <c r="B56" s="28" t="s">
        <v>70</v>
      </c>
      <c r="C56" s="29" t="s">
        <v>37</v>
      </c>
      <c r="D56" s="29" t="s">
        <v>39</v>
      </c>
      <c r="E56" s="28" t="s">
        <v>218</v>
      </c>
      <c r="F56" s="28" t="s">
        <v>47</v>
      </c>
      <c r="G56" s="30">
        <f>30919.45</f>
        <v>30919.45</v>
      </c>
      <c r="H56" s="31">
        <f>14901.25</f>
        <v>14901.25</v>
      </c>
      <c r="I56" s="31">
        <f>48.19</f>
        <v>48.19</v>
      </c>
    </row>
    <row r="57" spans="1:9" ht="26.25">
      <c r="A57" s="27" t="s">
        <v>11</v>
      </c>
      <c r="B57" s="28" t="s">
        <v>70</v>
      </c>
      <c r="C57" s="29" t="s">
        <v>37</v>
      </c>
      <c r="D57" s="29" t="s">
        <v>39</v>
      </c>
      <c r="E57" s="28" t="s">
        <v>218</v>
      </c>
      <c r="F57" s="28" t="s">
        <v>48</v>
      </c>
      <c r="G57" s="30">
        <f>30919.45</f>
        <v>30919.45</v>
      </c>
      <c r="H57" s="31">
        <f>14901.25</f>
        <v>14901.25</v>
      </c>
      <c r="I57" s="31">
        <f>48.19</f>
        <v>48.19</v>
      </c>
    </row>
    <row r="58" spans="1:9" ht="15">
      <c r="A58" s="27" t="s">
        <v>73</v>
      </c>
      <c r="B58" s="28" t="s">
        <v>70</v>
      </c>
      <c r="C58" s="29" t="s">
        <v>37</v>
      </c>
      <c r="D58" s="29" t="s">
        <v>39</v>
      </c>
      <c r="E58" s="28" t="s">
        <v>53</v>
      </c>
      <c r="F58" s="28" t="s">
        <v>58</v>
      </c>
      <c r="G58" s="30">
        <f>344780</f>
        <v>344780</v>
      </c>
      <c r="H58" s="31">
        <f>148700</f>
        <v>148700</v>
      </c>
      <c r="I58" s="31">
        <f>43.13</f>
        <v>43.13</v>
      </c>
    </row>
    <row r="59" spans="1:9" ht="15">
      <c r="A59" s="27" t="s">
        <v>73</v>
      </c>
      <c r="B59" s="28" t="s">
        <v>70</v>
      </c>
      <c r="C59" s="29" t="s">
        <v>37</v>
      </c>
      <c r="D59" s="29" t="s">
        <v>39</v>
      </c>
      <c r="E59" s="28" t="s">
        <v>53</v>
      </c>
      <c r="F59" s="28" t="s">
        <v>58</v>
      </c>
      <c r="G59" s="30">
        <f>344780</f>
        <v>344780</v>
      </c>
      <c r="H59" s="31">
        <f>148700</f>
        <v>148700</v>
      </c>
      <c r="I59" s="31">
        <f>43.13</f>
        <v>43.13</v>
      </c>
    </row>
    <row r="60" spans="1:9" ht="15">
      <c r="A60" s="27" t="s">
        <v>73</v>
      </c>
      <c r="B60" s="28" t="s">
        <v>70</v>
      </c>
      <c r="C60" s="29" t="s">
        <v>37</v>
      </c>
      <c r="D60" s="29" t="s">
        <v>39</v>
      </c>
      <c r="E60" s="28" t="s">
        <v>53</v>
      </c>
      <c r="F60" s="28" t="s">
        <v>58</v>
      </c>
      <c r="G60" s="30">
        <f>344780</f>
        <v>344780</v>
      </c>
      <c r="H60" s="31">
        <f>148700</f>
        <v>148700</v>
      </c>
      <c r="I60" s="31">
        <f>43.13</f>
        <v>43.13</v>
      </c>
    </row>
    <row r="61" spans="1:9" ht="15">
      <c r="A61" s="27" t="s">
        <v>117</v>
      </c>
      <c r="B61" s="28" t="s">
        <v>70</v>
      </c>
      <c r="C61" s="29" t="s">
        <v>37</v>
      </c>
      <c r="D61" s="29" t="s">
        <v>39</v>
      </c>
      <c r="E61" s="28" t="s">
        <v>54</v>
      </c>
      <c r="F61" s="28" t="s">
        <v>58</v>
      </c>
      <c r="G61" s="30">
        <f>344780</f>
        <v>344780</v>
      </c>
      <c r="H61" s="31">
        <f>148700</f>
        <v>148700</v>
      </c>
      <c r="I61" s="31">
        <f>43.13</f>
        <v>43.13</v>
      </c>
    </row>
    <row r="62" spans="1:9" ht="26.25">
      <c r="A62" s="27" t="s">
        <v>10</v>
      </c>
      <c r="B62" s="28" t="s">
        <v>70</v>
      </c>
      <c r="C62" s="29" t="s">
        <v>37</v>
      </c>
      <c r="D62" s="29" t="s">
        <v>39</v>
      </c>
      <c r="E62" s="28" t="s">
        <v>54</v>
      </c>
      <c r="F62" s="28" t="s">
        <v>47</v>
      </c>
      <c r="G62" s="30">
        <f>14700</f>
        <v>14700</v>
      </c>
      <c r="H62" s="31">
        <f>14700</f>
        <v>14700</v>
      </c>
      <c r="I62" s="31">
        <f>100</f>
        <v>100</v>
      </c>
    </row>
    <row r="63" spans="1:9" ht="26.25">
      <c r="A63" s="27" t="s">
        <v>11</v>
      </c>
      <c r="B63" s="28" t="s">
        <v>70</v>
      </c>
      <c r="C63" s="29" t="s">
        <v>37</v>
      </c>
      <c r="D63" s="29" t="s">
        <v>39</v>
      </c>
      <c r="E63" s="28" t="s">
        <v>54</v>
      </c>
      <c r="F63" s="28" t="s">
        <v>48</v>
      </c>
      <c r="G63" s="30">
        <f>14700</f>
        <v>14700</v>
      </c>
      <c r="H63" s="31">
        <f>14700</f>
        <v>14700</v>
      </c>
      <c r="I63" s="31">
        <f>100</f>
        <v>100</v>
      </c>
    </row>
    <row r="64" spans="1:9" ht="15">
      <c r="A64" s="27" t="s">
        <v>12</v>
      </c>
      <c r="B64" s="28" t="s">
        <v>70</v>
      </c>
      <c r="C64" s="29" t="s">
        <v>37</v>
      </c>
      <c r="D64" s="29" t="s">
        <v>39</v>
      </c>
      <c r="E64" s="28" t="s">
        <v>54</v>
      </c>
      <c r="F64" s="28" t="s">
        <v>49</v>
      </c>
      <c r="G64" s="30">
        <f>330080</f>
        <v>330080</v>
      </c>
      <c r="H64" s="31">
        <f>134000</f>
        <v>134000</v>
      </c>
      <c r="I64" s="31">
        <f>40.6</f>
        <v>40.6</v>
      </c>
    </row>
    <row r="65" spans="1:9" ht="15">
      <c r="A65" s="27" t="s">
        <v>172</v>
      </c>
      <c r="B65" s="28" t="s">
        <v>70</v>
      </c>
      <c r="C65" s="29" t="s">
        <v>37</v>
      </c>
      <c r="D65" s="29" t="s">
        <v>39</v>
      </c>
      <c r="E65" s="28" t="s">
        <v>54</v>
      </c>
      <c r="F65" s="28" t="s">
        <v>173</v>
      </c>
      <c r="G65" s="30">
        <f>15682</f>
        <v>15682</v>
      </c>
      <c r="H65" s="31">
        <f>9000</f>
        <v>9000</v>
      </c>
      <c r="I65" s="31">
        <f>57.39</f>
        <v>57.39</v>
      </c>
    </row>
    <row r="66" spans="1:9" ht="15">
      <c r="A66" s="27" t="s">
        <v>13</v>
      </c>
      <c r="B66" s="28" t="s">
        <v>70</v>
      </c>
      <c r="C66" s="29" t="s">
        <v>37</v>
      </c>
      <c r="D66" s="29" t="s">
        <v>39</v>
      </c>
      <c r="E66" s="28" t="s">
        <v>54</v>
      </c>
      <c r="F66" s="28" t="s">
        <v>50</v>
      </c>
      <c r="G66" s="30">
        <f>314398</f>
        <v>314398</v>
      </c>
      <c r="H66" s="31">
        <f>125000</f>
        <v>125000</v>
      </c>
      <c r="I66" s="31">
        <f>39.76</f>
        <v>39.76</v>
      </c>
    </row>
    <row r="67" spans="1:9" ht="15">
      <c r="A67" s="27" t="s">
        <v>14</v>
      </c>
      <c r="B67" s="28" t="s">
        <v>70</v>
      </c>
      <c r="C67" s="29" t="s">
        <v>38</v>
      </c>
      <c r="D67" s="29" t="s">
        <v>138</v>
      </c>
      <c r="E67" s="28" t="s">
        <v>58</v>
      </c>
      <c r="F67" s="28" t="s">
        <v>58</v>
      </c>
      <c r="G67" s="30">
        <f aca="true" t="shared" si="4" ref="G67:H72">692700</f>
        <v>692700</v>
      </c>
      <c r="H67" s="31">
        <f t="shared" si="4"/>
        <v>692700</v>
      </c>
      <c r="I67" s="31">
        <f aca="true" t="shared" si="5" ref="I67:I117">100</f>
        <v>100</v>
      </c>
    </row>
    <row r="68" spans="1:9" ht="15">
      <c r="A68" s="27" t="s">
        <v>15</v>
      </c>
      <c r="B68" s="28" t="s">
        <v>70</v>
      </c>
      <c r="C68" s="29" t="s">
        <v>38</v>
      </c>
      <c r="D68" s="29" t="s">
        <v>140</v>
      </c>
      <c r="E68" s="28" t="s">
        <v>58</v>
      </c>
      <c r="F68" s="28" t="s">
        <v>58</v>
      </c>
      <c r="G68" s="30">
        <f t="shared" si="4"/>
        <v>692700</v>
      </c>
      <c r="H68" s="31">
        <f t="shared" si="4"/>
        <v>692700</v>
      </c>
      <c r="I68" s="31">
        <f t="shared" si="5"/>
        <v>100</v>
      </c>
    </row>
    <row r="69" spans="1:9" ht="39">
      <c r="A69" s="27" t="s">
        <v>199</v>
      </c>
      <c r="B69" s="28" t="s">
        <v>70</v>
      </c>
      <c r="C69" s="29" t="s">
        <v>38</v>
      </c>
      <c r="D69" s="29" t="s">
        <v>140</v>
      </c>
      <c r="E69" s="28" t="s">
        <v>200</v>
      </c>
      <c r="F69" s="28" t="s">
        <v>58</v>
      </c>
      <c r="G69" s="30">
        <f t="shared" si="4"/>
        <v>692700</v>
      </c>
      <c r="H69" s="31">
        <f t="shared" si="4"/>
        <v>692700</v>
      </c>
      <c r="I69" s="31">
        <f t="shared" si="5"/>
        <v>100</v>
      </c>
    </row>
    <row r="70" spans="1:9" ht="66">
      <c r="A70" s="27" t="s">
        <v>201</v>
      </c>
      <c r="B70" s="28" t="s">
        <v>70</v>
      </c>
      <c r="C70" s="29" t="s">
        <v>38</v>
      </c>
      <c r="D70" s="29" t="s">
        <v>140</v>
      </c>
      <c r="E70" s="28" t="s">
        <v>202</v>
      </c>
      <c r="F70" s="28" t="s">
        <v>58</v>
      </c>
      <c r="G70" s="30">
        <f t="shared" si="4"/>
        <v>692700</v>
      </c>
      <c r="H70" s="31">
        <f t="shared" si="4"/>
        <v>692700</v>
      </c>
      <c r="I70" s="31">
        <f t="shared" si="5"/>
        <v>100</v>
      </c>
    </row>
    <row r="71" spans="1:9" ht="78.75">
      <c r="A71" s="27" t="s">
        <v>219</v>
      </c>
      <c r="B71" s="28" t="s">
        <v>70</v>
      </c>
      <c r="C71" s="29" t="s">
        <v>38</v>
      </c>
      <c r="D71" s="29" t="s">
        <v>140</v>
      </c>
      <c r="E71" s="28" t="s">
        <v>220</v>
      </c>
      <c r="F71" s="28" t="s">
        <v>58</v>
      </c>
      <c r="G71" s="30">
        <f t="shared" si="4"/>
        <v>692700</v>
      </c>
      <c r="H71" s="31">
        <f t="shared" si="4"/>
        <v>692700</v>
      </c>
      <c r="I71" s="31">
        <f t="shared" si="5"/>
        <v>100</v>
      </c>
    </row>
    <row r="72" spans="1:9" ht="39">
      <c r="A72" s="27" t="s">
        <v>174</v>
      </c>
      <c r="B72" s="28" t="s">
        <v>70</v>
      </c>
      <c r="C72" s="29" t="s">
        <v>38</v>
      </c>
      <c r="D72" s="29" t="s">
        <v>140</v>
      </c>
      <c r="E72" s="28" t="s">
        <v>221</v>
      </c>
      <c r="F72" s="28" t="s">
        <v>58</v>
      </c>
      <c r="G72" s="30">
        <f t="shared" si="4"/>
        <v>692700</v>
      </c>
      <c r="H72" s="31">
        <f t="shared" si="4"/>
        <v>692700</v>
      </c>
      <c r="I72" s="31">
        <f t="shared" si="5"/>
        <v>100</v>
      </c>
    </row>
    <row r="73" spans="1:9" ht="66">
      <c r="A73" s="27" t="s">
        <v>5</v>
      </c>
      <c r="B73" s="28" t="s">
        <v>70</v>
      </c>
      <c r="C73" s="29" t="s">
        <v>38</v>
      </c>
      <c r="D73" s="29" t="s">
        <v>140</v>
      </c>
      <c r="E73" s="28" t="s">
        <v>221</v>
      </c>
      <c r="F73" s="28" t="s">
        <v>43</v>
      </c>
      <c r="G73" s="30">
        <f>594700</f>
        <v>594700</v>
      </c>
      <c r="H73" s="31">
        <f>594700</f>
        <v>594700</v>
      </c>
      <c r="I73" s="31">
        <f t="shared" si="5"/>
        <v>100</v>
      </c>
    </row>
    <row r="74" spans="1:9" ht="26.25">
      <c r="A74" s="27" t="s">
        <v>6</v>
      </c>
      <c r="B74" s="28" t="s">
        <v>70</v>
      </c>
      <c r="C74" s="29" t="s">
        <v>38</v>
      </c>
      <c r="D74" s="29" t="s">
        <v>140</v>
      </c>
      <c r="E74" s="28" t="s">
        <v>221</v>
      </c>
      <c r="F74" s="28" t="s">
        <v>44</v>
      </c>
      <c r="G74" s="30">
        <f>594700</f>
        <v>594700</v>
      </c>
      <c r="H74" s="31">
        <f>594700</f>
        <v>594700</v>
      </c>
      <c r="I74" s="31">
        <f t="shared" si="5"/>
        <v>100</v>
      </c>
    </row>
    <row r="75" spans="1:9" ht="26.25">
      <c r="A75" s="27" t="s">
        <v>10</v>
      </c>
      <c r="B75" s="28" t="s">
        <v>70</v>
      </c>
      <c r="C75" s="29" t="s">
        <v>38</v>
      </c>
      <c r="D75" s="29" t="s">
        <v>140</v>
      </c>
      <c r="E75" s="28" t="s">
        <v>221</v>
      </c>
      <c r="F75" s="28" t="s">
        <v>47</v>
      </c>
      <c r="G75" s="30">
        <f>98000</f>
        <v>98000</v>
      </c>
      <c r="H75" s="31">
        <f>98000</f>
        <v>98000</v>
      </c>
      <c r="I75" s="31">
        <f t="shared" si="5"/>
        <v>100</v>
      </c>
    </row>
    <row r="76" spans="1:9" ht="26.25">
      <c r="A76" s="27" t="s">
        <v>11</v>
      </c>
      <c r="B76" s="28" t="s">
        <v>70</v>
      </c>
      <c r="C76" s="29" t="s">
        <v>38</v>
      </c>
      <c r="D76" s="29" t="s">
        <v>140</v>
      </c>
      <c r="E76" s="28" t="s">
        <v>221</v>
      </c>
      <c r="F76" s="28" t="s">
        <v>48</v>
      </c>
      <c r="G76" s="30">
        <f>98000</f>
        <v>98000</v>
      </c>
      <c r="H76" s="31">
        <f>98000</f>
        <v>98000</v>
      </c>
      <c r="I76" s="31">
        <f t="shared" si="5"/>
        <v>100</v>
      </c>
    </row>
    <row r="77" spans="1:9" ht="26.25">
      <c r="A77" s="27" t="s">
        <v>16</v>
      </c>
      <c r="B77" s="28" t="s">
        <v>70</v>
      </c>
      <c r="C77" s="29" t="s">
        <v>140</v>
      </c>
      <c r="D77" s="29" t="s">
        <v>138</v>
      </c>
      <c r="E77" s="28" t="s">
        <v>58</v>
      </c>
      <c r="F77" s="28" t="s">
        <v>58</v>
      </c>
      <c r="G77" s="30">
        <f>339049.14</f>
        <v>339049.14</v>
      </c>
      <c r="H77" s="31">
        <f>339049.14</f>
        <v>339049.14</v>
      </c>
      <c r="I77" s="31">
        <f t="shared" si="5"/>
        <v>100</v>
      </c>
    </row>
    <row r="78" spans="1:9" ht="15">
      <c r="A78" s="27" t="s">
        <v>17</v>
      </c>
      <c r="B78" s="28" t="s">
        <v>70</v>
      </c>
      <c r="C78" s="29" t="s">
        <v>140</v>
      </c>
      <c r="D78" s="29" t="s">
        <v>139</v>
      </c>
      <c r="E78" s="28" t="s">
        <v>58</v>
      </c>
      <c r="F78" s="28" t="s">
        <v>58</v>
      </c>
      <c r="G78" s="30">
        <f aca="true" t="shared" si="6" ref="G78:H81">131940.78</f>
        <v>131940.78</v>
      </c>
      <c r="H78" s="31">
        <f t="shared" si="6"/>
        <v>131940.78</v>
      </c>
      <c r="I78" s="31">
        <f t="shared" si="5"/>
        <v>100</v>
      </c>
    </row>
    <row r="79" spans="1:9" ht="39">
      <c r="A79" s="27" t="s">
        <v>199</v>
      </c>
      <c r="B79" s="28" t="s">
        <v>70</v>
      </c>
      <c r="C79" s="29" t="s">
        <v>140</v>
      </c>
      <c r="D79" s="29" t="s">
        <v>139</v>
      </c>
      <c r="E79" s="28" t="s">
        <v>200</v>
      </c>
      <c r="F79" s="28" t="s">
        <v>58</v>
      </c>
      <c r="G79" s="30">
        <f t="shared" si="6"/>
        <v>131940.78</v>
      </c>
      <c r="H79" s="31">
        <f t="shared" si="6"/>
        <v>131940.78</v>
      </c>
      <c r="I79" s="31">
        <f t="shared" si="5"/>
        <v>100</v>
      </c>
    </row>
    <row r="80" spans="1:9" ht="66">
      <c r="A80" s="27" t="s">
        <v>201</v>
      </c>
      <c r="B80" s="28" t="s">
        <v>70</v>
      </c>
      <c r="C80" s="29" t="s">
        <v>140</v>
      </c>
      <c r="D80" s="29" t="s">
        <v>139</v>
      </c>
      <c r="E80" s="28" t="s">
        <v>202</v>
      </c>
      <c r="F80" s="28" t="s">
        <v>58</v>
      </c>
      <c r="G80" s="30">
        <f t="shared" si="6"/>
        <v>131940.78</v>
      </c>
      <c r="H80" s="31">
        <f t="shared" si="6"/>
        <v>131940.78</v>
      </c>
      <c r="I80" s="31">
        <f t="shared" si="5"/>
        <v>100</v>
      </c>
    </row>
    <row r="81" spans="1:9" ht="78.75">
      <c r="A81" s="27" t="s">
        <v>219</v>
      </c>
      <c r="B81" s="28" t="s">
        <v>70</v>
      </c>
      <c r="C81" s="29" t="s">
        <v>140</v>
      </c>
      <c r="D81" s="29" t="s">
        <v>139</v>
      </c>
      <c r="E81" s="28" t="s">
        <v>220</v>
      </c>
      <c r="F81" s="28" t="s">
        <v>58</v>
      </c>
      <c r="G81" s="30">
        <f t="shared" si="6"/>
        <v>131940.78</v>
      </c>
      <c r="H81" s="31">
        <f t="shared" si="6"/>
        <v>131940.78</v>
      </c>
      <c r="I81" s="31">
        <f t="shared" si="5"/>
        <v>100</v>
      </c>
    </row>
    <row r="82" spans="1:9" ht="39">
      <c r="A82" s="27" t="s">
        <v>222</v>
      </c>
      <c r="B82" s="28" t="s">
        <v>70</v>
      </c>
      <c r="C82" s="29" t="s">
        <v>140</v>
      </c>
      <c r="D82" s="29" t="s">
        <v>139</v>
      </c>
      <c r="E82" s="28" t="s">
        <v>223</v>
      </c>
      <c r="F82" s="28" t="s">
        <v>58</v>
      </c>
      <c r="G82" s="30">
        <f aca="true" t="shared" si="7" ref="G82:H84">75420.72</f>
        <v>75420.72</v>
      </c>
      <c r="H82" s="31">
        <f t="shared" si="7"/>
        <v>75420.72</v>
      </c>
      <c r="I82" s="31">
        <f t="shared" si="5"/>
        <v>100</v>
      </c>
    </row>
    <row r="83" spans="1:9" ht="66">
      <c r="A83" s="27" t="s">
        <v>5</v>
      </c>
      <c r="B83" s="28" t="s">
        <v>70</v>
      </c>
      <c r="C83" s="29" t="s">
        <v>140</v>
      </c>
      <c r="D83" s="29" t="s">
        <v>139</v>
      </c>
      <c r="E83" s="28" t="s">
        <v>223</v>
      </c>
      <c r="F83" s="28" t="s">
        <v>43</v>
      </c>
      <c r="G83" s="30">
        <f t="shared" si="7"/>
        <v>75420.72</v>
      </c>
      <c r="H83" s="31">
        <f t="shared" si="7"/>
        <v>75420.72</v>
      </c>
      <c r="I83" s="31">
        <f t="shared" si="5"/>
        <v>100</v>
      </c>
    </row>
    <row r="84" spans="1:9" ht="26.25">
      <c r="A84" s="27" t="s">
        <v>6</v>
      </c>
      <c r="B84" s="28" t="s">
        <v>70</v>
      </c>
      <c r="C84" s="29" t="s">
        <v>140</v>
      </c>
      <c r="D84" s="29" t="s">
        <v>139</v>
      </c>
      <c r="E84" s="28" t="s">
        <v>223</v>
      </c>
      <c r="F84" s="28" t="s">
        <v>44</v>
      </c>
      <c r="G84" s="30">
        <f t="shared" si="7"/>
        <v>75420.72</v>
      </c>
      <c r="H84" s="31">
        <f t="shared" si="7"/>
        <v>75420.72</v>
      </c>
      <c r="I84" s="31">
        <f t="shared" si="5"/>
        <v>100</v>
      </c>
    </row>
    <row r="85" spans="1:9" ht="52.5">
      <c r="A85" s="27" t="s">
        <v>224</v>
      </c>
      <c r="B85" s="28" t="s">
        <v>70</v>
      </c>
      <c r="C85" s="29" t="s">
        <v>140</v>
      </c>
      <c r="D85" s="29" t="s">
        <v>139</v>
      </c>
      <c r="E85" s="28" t="s">
        <v>225</v>
      </c>
      <c r="F85" s="28" t="s">
        <v>58</v>
      </c>
      <c r="G85" s="30">
        <f aca="true" t="shared" si="8" ref="G85:H87">56520.06</f>
        <v>56520.06</v>
      </c>
      <c r="H85" s="31">
        <f t="shared" si="8"/>
        <v>56520.06</v>
      </c>
      <c r="I85" s="31">
        <f t="shared" si="5"/>
        <v>100</v>
      </c>
    </row>
    <row r="86" spans="1:9" ht="66">
      <c r="A86" s="27" t="s">
        <v>5</v>
      </c>
      <c r="B86" s="28" t="s">
        <v>70</v>
      </c>
      <c r="C86" s="29" t="s">
        <v>140</v>
      </c>
      <c r="D86" s="29" t="s">
        <v>139</v>
      </c>
      <c r="E86" s="28" t="s">
        <v>225</v>
      </c>
      <c r="F86" s="28" t="s">
        <v>43</v>
      </c>
      <c r="G86" s="30">
        <f t="shared" si="8"/>
        <v>56520.06</v>
      </c>
      <c r="H86" s="31">
        <f t="shared" si="8"/>
        <v>56520.06</v>
      </c>
      <c r="I86" s="31">
        <f t="shared" si="5"/>
        <v>100</v>
      </c>
    </row>
    <row r="87" spans="1:9" ht="26.25">
      <c r="A87" s="27" t="s">
        <v>6</v>
      </c>
      <c r="B87" s="28" t="s">
        <v>70</v>
      </c>
      <c r="C87" s="29" t="s">
        <v>140</v>
      </c>
      <c r="D87" s="29" t="s">
        <v>139</v>
      </c>
      <c r="E87" s="28" t="s">
        <v>225</v>
      </c>
      <c r="F87" s="28" t="s">
        <v>44</v>
      </c>
      <c r="G87" s="30">
        <f t="shared" si="8"/>
        <v>56520.06</v>
      </c>
      <c r="H87" s="31">
        <f t="shared" si="8"/>
        <v>56520.06</v>
      </c>
      <c r="I87" s="31">
        <f t="shared" si="5"/>
        <v>100</v>
      </c>
    </row>
    <row r="88" spans="1:9" ht="39">
      <c r="A88" s="27" t="s">
        <v>141</v>
      </c>
      <c r="B88" s="28" t="s">
        <v>70</v>
      </c>
      <c r="C88" s="29" t="s">
        <v>140</v>
      </c>
      <c r="D88" s="29" t="s">
        <v>142</v>
      </c>
      <c r="E88" s="28" t="s">
        <v>58</v>
      </c>
      <c r="F88" s="28" t="s">
        <v>58</v>
      </c>
      <c r="G88" s="30">
        <f aca="true" t="shared" si="9" ref="G88:H94">168920.86</f>
        <v>168920.86</v>
      </c>
      <c r="H88" s="31">
        <f t="shared" si="9"/>
        <v>168920.86</v>
      </c>
      <c r="I88" s="31">
        <f t="shared" si="5"/>
        <v>100</v>
      </c>
    </row>
    <row r="89" spans="1:9" ht="26.25">
      <c r="A89" s="27" t="s">
        <v>226</v>
      </c>
      <c r="B89" s="28" t="s">
        <v>70</v>
      </c>
      <c r="C89" s="29" t="s">
        <v>140</v>
      </c>
      <c r="D89" s="29" t="s">
        <v>142</v>
      </c>
      <c r="E89" s="28" t="s">
        <v>227</v>
      </c>
      <c r="F89" s="28" t="s">
        <v>58</v>
      </c>
      <c r="G89" s="30">
        <f t="shared" si="9"/>
        <v>168920.86</v>
      </c>
      <c r="H89" s="31">
        <f t="shared" si="9"/>
        <v>168920.86</v>
      </c>
      <c r="I89" s="31">
        <f t="shared" si="5"/>
        <v>100</v>
      </c>
    </row>
    <row r="90" spans="1:9" ht="26.25">
      <c r="A90" s="27" t="s">
        <v>228</v>
      </c>
      <c r="B90" s="28" t="s">
        <v>70</v>
      </c>
      <c r="C90" s="29" t="s">
        <v>140</v>
      </c>
      <c r="D90" s="29" t="s">
        <v>142</v>
      </c>
      <c r="E90" s="28" t="s">
        <v>229</v>
      </c>
      <c r="F90" s="28" t="s">
        <v>58</v>
      </c>
      <c r="G90" s="30">
        <f t="shared" si="9"/>
        <v>168920.86</v>
      </c>
      <c r="H90" s="31">
        <f t="shared" si="9"/>
        <v>168920.86</v>
      </c>
      <c r="I90" s="31">
        <f t="shared" si="5"/>
        <v>100</v>
      </c>
    </row>
    <row r="91" spans="1:9" ht="26.25">
      <c r="A91" s="27" t="s">
        <v>230</v>
      </c>
      <c r="B91" s="28" t="s">
        <v>70</v>
      </c>
      <c r="C91" s="29" t="s">
        <v>140</v>
      </c>
      <c r="D91" s="29" t="s">
        <v>142</v>
      </c>
      <c r="E91" s="28" t="s">
        <v>231</v>
      </c>
      <c r="F91" s="28" t="s">
        <v>58</v>
      </c>
      <c r="G91" s="30">
        <f t="shared" si="9"/>
        <v>168920.86</v>
      </c>
      <c r="H91" s="31">
        <f t="shared" si="9"/>
        <v>168920.86</v>
      </c>
      <c r="I91" s="31">
        <f t="shared" si="5"/>
        <v>100</v>
      </c>
    </row>
    <row r="92" spans="1:9" ht="26.25">
      <c r="A92" s="27" t="s">
        <v>118</v>
      </c>
      <c r="B92" s="28" t="s">
        <v>70</v>
      </c>
      <c r="C92" s="29" t="s">
        <v>140</v>
      </c>
      <c r="D92" s="29" t="s">
        <v>142</v>
      </c>
      <c r="E92" s="28" t="s">
        <v>232</v>
      </c>
      <c r="F92" s="28" t="s">
        <v>58</v>
      </c>
      <c r="G92" s="30">
        <f t="shared" si="9"/>
        <v>168920.86</v>
      </c>
      <c r="H92" s="31">
        <f t="shared" si="9"/>
        <v>168920.86</v>
      </c>
      <c r="I92" s="31">
        <f t="shared" si="5"/>
        <v>100</v>
      </c>
    </row>
    <row r="93" spans="1:9" ht="26.25">
      <c r="A93" s="27" t="s">
        <v>10</v>
      </c>
      <c r="B93" s="28" t="s">
        <v>70</v>
      </c>
      <c r="C93" s="29" t="s">
        <v>140</v>
      </c>
      <c r="D93" s="29" t="s">
        <v>142</v>
      </c>
      <c r="E93" s="28" t="s">
        <v>232</v>
      </c>
      <c r="F93" s="28" t="s">
        <v>47</v>
      </c>
      <c r="G93" s="30">
        <f t="shared" si="9"/>
        <v>168920.86</v>
      </c>
      <c r="H93" s="31">
        <f t="shared" si="9"/>
        <v>168920.86</v>
      </c>
      <c r="I93" s="31">
        <f t="shared" si="5"/>
        <v>100</v>
      </c>
    </row>
    <row r="94" spans="1:9" ht="26.25">
      <c r="A94" s="27" t="s">
        <v>11</v>
      </c>
      <c r="B94" s="28" t="s">
        <v>70</v>
      </c>
      <c r="C94" s="29" t="s">
        <v>140</v>
      </c>
      <c r="D94" s="29" t="s">
        <v>142</v>
      </c>
      <c r="E94" s="28" t="s">
        <v>232</v>
      </c>
      <c r="F94" s="28" t="s">
        <v>48</v>
      </c>
      <c r="G94" s="30">
        <f t="shared" si="9"/>
        <v>168920.86</v>
      </c>
      <c r="H94" s="31">
        <f t="shared" si="9"/>
        <v>168920.86</v>
      </c>
      <c r="I94" s="31">
        <f t="shared" si="5"/>
        <v>100</v>
      </c>
    </row>
    <row r="95" spans="1:9" ht="26.25">
      <c r="A95" s="27" t="s">
        <v>18</v>
      </c>
      <c r="B95" s="28" t="s">
        <v>70</v>
      </c>
      <c r="C95" s="29" t="s">
        <v>140</v>
      </c>
      <c r="D95" s="29" t="s">
        <v>143</v>
      </c>
      <c r="E95" s="28" t="s">
        <v>58</v>
      </c>
      <c r="F95" s="28" t="s">
        <v>58</v>
      </c>
      <c r="G95" s="30">
        <f>38187.5</f>
        <v>38187.5</v>
      </c>
      <c r="H95" s="31">
        <f>38187.5</f>
        <v>38187.5</v>
      </c>
      <c r="I95" s="31">
        <f t="shared" si="5"/>
        <v>100</v>
      </c>
    </row>
    <row r="96" spans="1:9" ht="52.5">
      <c r="A96" s="27" t="s">
        <v>233</v>
      </c>
      <c r="B96" s="28" t="s">
        <v>70</v>
      </c>
      <c r="C96" s="29" t="s">
        <v>140</v>
      </c>
      <c r="D96" s="29" t="s">
        <v>143</v>
      </c>
      <c r="E96" s="28" t="s">
        <v>234</v>
      </c>
      <c r="F96" s="28" t="s">
        <v>58</v>
      </c>
      <c r="G96" s="30">
        <f>38187.5</f>
        <v>38187.5</v>
      </c>
      <c r="H96" s="31">
        <f>38187.5</f>
        <v>38187.5</v>
      </c>
      <c r="I96" s="31">
        <f t="shared" si="5"/>
        <v>100</v>
      </c>
    </row>
    <row r="97" spans="1:9" ht="39">
      <c r="A97" s="27" t="s">
        <v>235</v>
      </c>
      <c r="B97" s="28" t="s">
        <v>70</v>
      </c>
      <c r="C97" s="29" t="s">
        <v>140</v>
      </c>
      <c r="D97" s="29" t="s">
        <v>143</v>
      </c>
      <c r="E97" s="28" t="s">
        <v>236</v>
      </c>
      <c r="F97" s="28" t="s">
        <v>58</v>
      </c>
      <c r="G97" s="30">
        <f>16000</f>
        <v>16000</v>
      </c>
      <c r="H97" s="31">
        <f>16000</f>
        <v>16000</v>
      </c>
      <c r="I97" s="31">
        <f t="shared" si="5"/>
        <v>100</v>
      </c>
    </row>
    <row r="98" spans="1:9" ht="39">
      <c r="A98" s="27" t="s">
        <v>237</v>
      </c>
      <c r="B98" s="28" t="s">
        <v>70</v>
      </c>
      <c r="C98" s="29" t="s">
        <v>140</v>
      </c>
      <c r="D98" s="29" t="s">
        <v>143</v>
      </c>
      <c r="E98" s="28" t="s">
        <v>238</v>
      </c>
      <c r="F98" s="28" t="s">
        <v>58</v>
      </c>
      <c r="G98" s="30">
        <f aca="true" t="shared" si="10" ref="G98:H105">8000</f>
        <v>8000</v>
      </c>
      <c r="H98" s="31">
        <f t="shared" si="10"/>
        <v>8000</v>
      </c>
      <c r="I98" s="31">
        <f t="shared" si="5"/>
        <v>100</v>
      </c>
    </row>
    <row r="99" spans="1:9" ht="26.25">
      <c r="A99" s="27" t="s">
        <v>118</v>
      </c>
      <c r="B99" s="28" t="s">
        <v>70</v>
      </c>
      <c r="C99" s="29" t="s">
        <v>140</v>
      </c>
      <c r="D99" s="29" t="s">
        <v>143</v>
      </c>
      <c r="E99" s="28" t="s">
        <v>239</v>
      </c>
      <c r="F99" s="28" t="s">
        <v>58</v>
      </c>
      <c r="G99" s="30">
        <f t="shared" si="10"/>
        <v>8000</v>
      </c>
      <c r="H99" s="31">
        <f t="shared" si="10"/>
        <v>8000</v>
      </c>
      <c r="I99" s="31">
        <f t="shared" si="5"/>
        <v>100</v>
      </c>
    </row>
    <row r="100" spans="1:9" ht="26.25">
      <c r="A100" s="27" t="s">
        <v>10</v>
      </c>
      <c r="B100" s="28" t="s">
        <v>70</v>
      </c>
      <c r="C100" s="29" t="s">
        <v>140</v>
      </c>
      <c r="D100" s="29" t="s">
        <v>143</v>
      </c>
      <c r="E100" s="28" t="s">
        <v>239</v>
      </c>
      <c r="F100" s="28" t="s">
        <v>47</v>
      </c>
      <c r="G100" s="30">
        <f t="shared" si="10"/>
        <v>8000</v>
      </c>
      <c r="H100" s="31">
        <f t="shared" si="10"/>
        <v>8000</v>
      </c>
      <c r="I100" s="31">
        <f t="shared" si="5"/>
        <v>100</v>
      </c>
    </row>
    <row r="101" spans="1:9" ht="26.25">
      <c r="A101" s="27" t="s">
        <v>11</v>
      </c>
      <c r="B101" s="28" t="s">
        <v>70</v>
      </c>
      <c r="C101" s="29" t="s">
        <v>140</v>
      </c>
      <c r="D101" s="29" t="s">
        <v>143</v>
      </c>
      <c r="E101" s="28" t="s">
        <v>239</v>
      </c>
      <c r="F101" s="28" t="s">
        <v>48</v>
      </c>
      <c r="G101" s="30">
        <f t="shared" si="10"/>
        <v>8000</v>
      </c>
      <c r="H101" s="31">
        <f t="shared" si="10"/>
        <v>8000</v>
      </c>
      <c r="I101" s="31">
        <f t="shared" si="5"/>
        <v>100</v>
      </c>
    </row>
    <row r="102" spans="1:9" ht="39">
      <c r="A102" s="27" t="s">
        <v>240</v>
      </c>
      <c r="B102" s="28" t="s">
        <v>70</v>
      </c>
      <c r="C102" s="29" t="s">
        <v>140</v>
      </c>
      <c r="D102" s="29" t="s">
        <v>143</v>
      </c>
      <c r="E102" s="28" t="s">
        <v>241</v>
      </c>
      <c r="F102" s="28" t="s">
        <v>58</v>
      </c>
      <c r="G102" s="30">
        <f t="shared" si="10"/>
        <v>8000</v>
      </c>
      <c r="H102" s="31">
        <f t="shared" si="10"/>
        <v>8000</v>
      </c>
      <c r="I102" s="31">
        <f t="shared" si="5"/>
        <v>100</v>
      </c>
    </row>
    <row r="103" spans="1:9" ht="26.25">
      <c r="A103" s="27" t="s">
        <v>118</v>
      </c>
      <c r="B103" s="28" t="s">
        <v>70</v>
      </c>
      <c r="C103" s="29" t="s">
        <v>140</v>
      </c>
      <c r="D103" s="29" t="s">
        <v>143</v>
      </c>
      <c r="E103" s="28" t="s">
        <v>242</v>
      </c>
      <c r="F103" s="28" t="s">
        <v>58</v>
      </c>
      <c r="G103" s="30">
        <f t="shared" si="10"/>
        <v>8000</v>
      </c>
      <c r="H103" s="31">
        <f t="shared" si="10"/>
        <v>8000</v>
      </c>
      <c r="I103" s="31">
        <f t="shared" si="5"/>
        <v>100</v>
      </c>
    </row>
    <row r="104" spans="1:9" ht="26.25">
      <c r="A104" s="27" t="s">
        <v>10</v>
      </c>
      <c r="B104" s="28" t="s">
        <v>70</v>
      </c>
      <c r="C104" s="29" t="s">
        <v>140</v>
      </c>
      <c r="D104" s="29" t="s">
        <v>143</v>
      </c>
      <c r="E104" s="28" t="s">
        <v>242</v>
      </c>
      <c r="F104" s="28" t="s">
        <v>47</v>
      </c>
      <c r="G104" s="30">
        <f t="shared" si="10"/>
        <v>8000</v>
      </c>
      <c r="H104" s="31">
        <f t="shared" si="10"/>
        <v>8000</v>
      </c>
      <c r="I104" s="31">
        <f t="shared" si="5"/>
        <v>100</v>
      </c>
    </row>
    <row r="105" spans="1:9" ht="26.25">
      <c r="A105" s="27" t="s">
        <v>11</v>
      </c>
      <c r="B105" s="28" t="s">
        <v>70</v>
      </c>
      <c r="C105" s="29" t="s">
        <v>140</v>
      </c>
      <c r="D105" s="29" t="s">
        <v>143</v>
      </c>
      <c r="E105" s="28" t="s">
        <v>242</v>
      </c>
      <c r="F105" s="28" t="s">
        <v>48</v>
      </c>
      <c r="G105" s="30">
        <f t="shared" si="10"/>
        <v>8000</v>
      </c>
      <c r="H105" s="31">
        <f t="shared" si="10"/>
        <v>8000</v>
      </c>
      <c r="I105" s="31">
        <f t="shared" si="5"/>
        <v>100</v>
      </c>
    </row>
    <row r="106" spans="1:9" ht="26.25">
      <c r="A106" s="27" t="s">
        <v>75</v>
      </c>
      <c r="B106" s="28" t="s">
        <v>70</v>
      </c>
      <c r="C106" s="29" t="s">
        <v>140</v>
      </c>
      <c r="D106" s="29" t="s">
        <v>143</v>
      </c>
      <c r="E106" s="28" t="s">
        <v>243</v>
      </c>
      <c r="F106" s="28" t="s">
        <v>58</v>
      </c>
      <c r="G106" s="30">
        <f>22187.5</f>
        <v>22187.5</v>
      </c>
      <c r="H106" s="31">
        <f>22187.5</f>
        <v>22187.5</v>
      </c>
      <c r="I106" s="31">
        <f t="shared" si="5"/>
        <v>100</v>
      </c>
    </row>
    <row r="107" spans="1:9" ht="26.25">
      <c r="A107" s="27" t="s">
        <v>244</v>
      </c>
      <c r="B107" s="28" t="s">
        <v>70</v>
      </c>
      <c r="C107" s="29" t="s">
        <v>140</v>
      </c>
      <c r="D107" s="29" t="s">
        <v>143</v>
      </c>
      <c r="E107" s="28" t="s">
        <v>245</v>
      </c>
      <c r="F107" s="28" t="s">
        <v>58</v>
      </c>
      <c r="G107" s="30">
        <f>22187.5</f>
        <v>22187.5</v>
      </c>
      <c r="H107" s="31">
        <f>22187.5</f>
        <v>22187.5</v>
      </c>
      <c r="I107" s="31">
        <f t="shared" si="5"/>
        <v>100</v>
      </c>
    </row>
    <row r="108" spans="1:9" ht="26.25">
      <c r="A108" s="27" t="s">
        <v>119</v>
      </c>
      <c r="B108" s="28" t="s">
        <v>70</v>
      </c>
      <c r="C108" s="29" t="s">
        <v>140</v>
      </c>
      <c r="D108" s="29" t="s">
        <v>143</v>
      </c>
      <c r="E108" s="28" t="s">
        <v>246</v>
      </c>
      <c r="F108" s="28" t="s">
        <v>58</v>
      </c>
      <c r="G108" s="30">
        <f>17750</f>
        <v>17750</v>
      </c>
      <c r="H108" s="31">
        <f>17750</f>
        <v>17750</v>
      </c>
      <c r="I108" s="31">
        <f t="shared" si="5"/>
        <v>100</v>
      </c>
    </row>
    <row r="109" spans="1:9" ht="66">
      <c r="A109" s="27" t="s">
        <v>5</v>
      </c>
      <c r="B109" s="28" t="s">
        <v>70</v>
      </c>
      <c r="C109" s="29" t="s">
        <v>140</v>
      </c>
      <c r="D109" s="29" t="s">
        <v>143</v>
      </c>
      <c r="E109" s="28" t="s">
        <v>246</v>
      </c>
      <c r="F109" s="28" t="s">
        <v>43</v>
      </c>
      <c r="G109" s="30">
        <f>16790</f>
        <v>16790</v>
      </c>
      <c r="H109" s="31">
        <f>16790</f>
        <v>16790</v>
      </c>
      <c r="I109" s="31">
        <f t="shared" si="5"/>
        <v>100</v>
      </c>
    </row>
    <row r="110" spans="1:9" ht="26.25">
      <c r="A110" s="27" t="s">
        <v>6</v>
      </c>
      <c r="B110" s="28" t="s">
        <v>70</v>
      </c>
      <c r="C110" s="29" t="s">
        <v>140</v>
      </c>
      <c r="D110" s="29" t="s">
        <v>143</v>
      </c>
      <c r="E110" s="28" t="s">
        <v>246</v>
      </c>
      <c r="F110" s="28" t="s">
        <v>44</v>
      </c>
      <c r="G110" s="30">
        <f>16790</f>
        <v>16790</v>
      </c>
      <c r="H110" s="31">
        <f>16790</f>
        <v>16790</v>
      </c>
      <c r="I110" s="31">
        <f t="shared" si="5"/>
        <v>100</v>
      </c>
    </row>
    <row r="111" spans="1:9" ht="26.25">
      <c r="A111" s="27" t="s">
        <v>10</v>
      </c>
      <c r="B111" s="28" t="s">
        <v>70</v>
      </c>
      <c r="C111" s="29" t="s">
        <v>140</v>
      </c>
      <c r="D111" s="29" t="s">
        <v>143</v>
      </c>
      <c r="E111" s="28" t="s">
        <v>246</v>
      </c>
      <c r="F111" s="28" t="s">
        <v>47</v>
      </c>
      <c r="G111" s="30">
        <f>960</f>
        <v>960</v>
      </c>
      <c r="H111" s="31">
        <f>960</f>
        <v>960</v>
      </c>
      <c r="I111" s="31">
        <f t="shared" si="5"/>
        <v>100</v>
      </c>
    </row>
    <row r="112" spans="1:9" ht="26.25">
      <c r="A112" s="27" t="s">
        <v>11</v>
      </c>
      <c r="B112" s="28" t="s">
        <v>70</v>
      </c>
      <c r="C112" s="29" t="s">
        <v>140</v>
      </c>
      <c r="D112" s="29" t="s">
        <v>143</v>
      </c>
      <c r="E112" s="28" t="s">
        <v>246</v>
      </c>
      <c r="F112" s="28" t="s">
        <v>48</v>
      </c>
      <c r="G112" s="30">
        <f>960</f>
        <v>960</v>
      </c>
      <c r="H112" s="31">
        <f>960</f>
        <v>960</v>
      </c>
      <c r="I112" s="31">
        <f t="shared" si="5"/>
        <v>100</v>
      </c>
    </row>
    <row r="113" spans="1:9" ht="39">
      <c r="A113" s="27" t="s">
        <v>247</v>
      </c>
      <c r="B113" s="28" t="s">
        <v>70</v>
      </c>
      <c r="C113" s="29" t="s">
        <v>140</v>
      </c>
      <c r="D113" s="29" t="s">
        <v>143</v>
      </c>
      <c r="E113" s="28" t="s">
        <v>248</v>
      </c>
      <c r="F113" s="28" t="s">
        <v>58</v>
      </c>
      <c r="G113" s="30">
        <f>4437.5</f>
        <v>4437.5</v>
      </c>
      <c r="H113" s="31">
        <f>4437.5</f>
        <v>4437.5</v>
      </c>
      <c r="I113" s="31">
        <f t="shared" si="5"/>
        <v>100</v>
      </c>
    </row>
    <row r="114" spans="1:9" ht="66">
      <c r="A114" s="27" t="s">
        <v>5</v>
      </c>
      <c r="B114" s="28" t="s">
        <v>70</v>
      </c>
      <c r="C114" s="29" t="s">
        <v>140</v>
      </c>
      <c r="D114" s="29" t="s">
        <v>143</v>
      </c>
      <c r="E114" s="28" t="s">
        <v>248</v>
      </c>
      <c r="F114" s="28" t="s">
        <v>43</v>
      </c>
      <c r="G114" s="30">
        <f>4197.5</f>
        <v>4197.5</v>
      </c>
      <c r="H114" s="31">
        <f>4197.5</f>
        <v>4197.5</v>
      </c>
      <c r="I114" s="31">
        <f t="shared" si="5"/>
        <v>100</v>
      </c>
    </row>
    <row r="115" spans="1:9" ht="26.25">
      <c r="A115" s="27" t="s">
        <v>6</v>
      </c>
      <c r="B115" s="28" t="s">
        <v>70</v>
      </c>
      <c r="C115" s="29" t="s">
        <v>140</v>
      </c>
      <c r="D115" s="29" t="s">
        <v>143</v>
      </c>
      <c r="E115" s="28" t="s">
        <v>248</v>
      </c>
      <c r="F115" s="28" t="s">
        <v>44</v>
      </c>
      <c r="G115" s="30">
        <f>4197.5</f>
        <v>4197.5</v>
      </c>
      <c r="H115" s="31">
        <f>4197.5</f>
        <v>4197.5</v>
      </c>
      <c r="I115" s="31">
        <f t="shared" si="5"/>
        <v>100</v>
      </c>
    </row>
    <row r="116" spans="1:9" ht="26.25">
      <c r="A116" s="27" t="s">
        <v>10</v>
      </c>
      <c r="B116" s="28" t="s">
        <v>70</v>
      </c>
      <c r="C116" s="29" t="s">
        <v>140</v>
      </c>
      <c r="D116" s="29" t="s">
        <v>143</v>
      </c>
      <c r="E116" s="28" t="s">
        <v>248</v>
      </c>
      <c r="F116" s="28" t="s">
        <v>47</v>
      </c>
      <c r="G116" s="30">
        <f>240</f>
        <v>240</v>
      </c>
      <c r="H116" s="31">
        <f>240</f>
        <v>240</v>
      </c>
      <c r="I116" s="31">
        <f t="shared" si="5"/>
        <v>100</v>
      </c>
    </row>
    <row r="117" spans="1:9" ht="26.25">
      <c r="A117" s="27" t="s">
        <v>11</v>
      </c>
      <c r="B117" s="28" t="s">
        <v>70</v>
      </c>
      <c r="C117" s="29" t="s">
        <v>140</v>
      </c>
      <c r="D117" s="29" t="s">
        <v>143</v>
      </c>
      <c r="E117" s="28" t="s">
        <v>248</v>
      </c>
      <c r="F117" s="28" t="s">
        <v>48</v>
      </c>
      <c r="G117" s="30">
        <f>240</f>
        <v>240</v>
      </c>
      <c r="H117" s="31">
        <f>240</f>
        <v>240</v>
      </c>
      <c r="I117" s="31">
        <f t="shared" si="5"/>
        <v>100</v>
      </c>
    </row>
    <row r="118" spans="1:9" ht="15">
      <c r="A118" s="27" t="s">
        <v>19</v>
      </c>
      <c r="B118" s="28" t="s">
        <v>70</v>
      </c>
      <c r="C118" s="29" t="s">
        <v>139</v>
      </c>
      <c r="D118" s="29" t="s">
        <v>138</v>
      </c>
      <c r="E118" s="28" t="s">
        <v>58</v>
      </c>
      <c r="F118" s="28" t="s">
        <v>58</v>
      </c>
      <c r="G118" s="30">
        <f>10681217.57</f>
        <v>10681217.57</v>
      </c>
      <c r="H118" s="31">
        <f>6652284.55</f>
        <v>6652284.55</v>
      </c>
      <c r="I118" s="31">
        <f>62.28</f>
        <v>62.28</v>
      </c>
    </row>
    <row r="119" spans="1:9" ht="15">
      <c r="A119" s="27" t="s">
        <v>20</v>
      </c>
      <c r="B119" s="28" t="s">
        <v>70</v>
      </c>
      <c r="C119" s="29" t="s">
        <v>139</v>
      </c>
      <c r="D119" s="29" t="s">
        <v>37</v>
      </c>
      <c r="E119" s="28" t="s">
        <v>58</v>
      </c>
      <c r="F119" s="28" t="s">
        <v>58</v>
      </c>
      <c r="G119" s="30">
        <f>2247624.72</f>
        <v>2247624.72</v>
      </c>
      <c r="H119" s="31">
        <f>2234476.81</f>
        <v>2234476.81</v>
      </c>
      <c r="I119" s="31">
        <f>99.42</f>
        <v>99.42</v>
      </c>
    </row>
    <row r="120" spans="1:9" ht="39">
      <c r="A120" s="27" t="s">
        <v>199</v>
      </c>
      <c r="B120" s="28" t="s">
        <v>70</v>
      </c>
      <c r="C120" s="29" t="s">
        <v>139</v>
      </c>
      <c r="D120" s="29" t="s">
        <v>37</v>
      </c>
      <c r="E120" s="28" t="s">
        <v>200</v>
      </c>
      <c r="F120" s="28" t="s">
        <v>58</v>
      </c>
      <c r="G120" s="30">
        <f>2247624.72</f>
        <v>2247624.72</v>
      </c>
      <c r="H120" s="31">
        <f>2234476.81</f>
        <v>2234476.81</v>
      </c>
      <c r="I120" s="31">
        <f>99.42</f>
        <v>99.42</v>
      </c>
    </row>
    <row r="121" spans="1:9" ht="66">
      <c r="A121" s="27" t="s">
        <v>201</v>
      </c>
      <c r="B121" s="28" t="s">
        <v>70</v>
      </c>
      <c r="C121" s="29" t="s">
        <v>139</v>
      </c>
      <c r="D121" s="29" t="s">
        <v>37</v>
      </c>
      <c r="E121" s="28" t="s">
        <v>202</v>
      </c>
      <c r="F121" s="28" t="s">
        <v>58</v>
      </c>
      <c r="G121" s="30">
        <f>2247624.72</f>
        <v>2247624.72</v>
      </c>
      <c r="H121" s="31">
        <f>2234476.81</f>
        <v>2234476.81</v>
      </c>
      <c r="I121" s="31">
        <f>99.42</f>
        <v>99.42</v>
      </c>
    </row>
    <row r="122" spans="1:9" ht="15">
      <c r="A122" s="27" t="s">
        <v>249</v>
      </c>
      <c r="B122" s="28" t="s">
        <v>70</v>
      </c>
      <c r="C122" s="29" t="s">
        <v>139</v>
      </c>
      <c r="D122" s="29" t="s">
        <v>37</v>
      </c>
      <c r="E122" s="28" t="s">
        <v>250</v>
      </c>
      <c r="F122" s="28" t="s">
        <v>58</v>
      </c>
      <c r="G122" s="30">
        <f>2247624.72</f>
        <v>2247624.72</v>
      </c>
      <c r="H122" s="31">
        <f>2234476.81</f>
        <v>2234476.81</v>
      </c>
      <c r="I122" s="31">
        <f>99.42</f>
        <v>99.42</v>
      </c>
    </row>
    <row r="123" spans="1:9" ht="26.25">
      <c r="A123" s="27" t="s">
        <v>251</v>
      </c>
      <c r="B123" s="28" t="s">
        <v>70</v>
      </c>
      <c r="C123" s="29" t="s">
        <v>139</v>
      </c>
      <c r="D123" s="29" t="s">
        <v>37</v>
      </c>
      <c r="E123" s="28" t="s">
        <v>252</v>
      </c>
      <c r="F123" s="28" t="s">
        <v>58</v>
      </c>
      <c r="G123" s="30">
        <f aca="true" t="shared" si="11" ref="G123:H125">493581.16</f>
        <v>493581.16</v>
      </c>
      <c r="H123" s="31">
        <f t="shared" si="11"/>
        <v>493581.16</v>
      </c>
      <c r="I123" s="31">
        <f aca="true" t="shared" si="12" ref="I123:I128">100</f>
        <v>100</v>
      </c>
    </row>
    <row r="124" spans="1:9" ht="66">
      <c r="A124" s="27" t="s">
        <v>5</v>
      </c>
      <c r="B124" s="28" t="s">
        <v>70</v>
      </c>
      <c r="C124" s="29" t="s">
        <v>139</v>
      </c>
      <c r="D124" s="29" t="s">
        <v>37</v>
      </c>
      <c r="E124" s="28" t="s">
        <v>252</v>
      </c>
      <c r="F124" s="28" t="s">
        <v>43</v>
      </c>
      <c r="G124" s="30">
        <f t="shared" si="11"/>
        <v>493581.16</v>
      </c>
      <c r="H124" s="31">
        <f t="shared" si="11"/>
        <v>493581.16</v>
      </c>
      <c r="I124" s="31">
        <f t="shared" si="12"/>
        <v>100</v>
      </c>
    </row>
    <row r="125" spans="1:9" ht="15">
      <c r="A125" s="27" t="s">
        <v>57</v>
      </c>
      <c r="B125" s="28" t="s">
        <v>70</v>
      </c>
      <c r="C125" s="29" t="s">
        <v>139</v>
      </c>
      <c r="D125" s="29" t="s">
        <v>37</v>
      </c>
      <c r="E125" s="28" t="s">
        <v>252</v>
      </c>
      <c r="F125" s="28" t="s">
        <v>51</v>
      </c>
      <c r="G125" s="30">
        <f t="shared" si="11"/>
        <v>493581.16</v>
      </c>
      <c r="H125" s="31">
        <f t="shared" si="11"/>
        <v>493581.16</v>
      </c>
      <c r="I125" s="31">
        <f t="shared" si="12"/>
        <v>100</v>
      </c>
    </row>
    <row r="126" spans="1:9" ht="15">
      <c r="A126" s="27" t="s">
        <v>147</v>
      </c>
      <c r="B126" s="28" t="s">
        <v>70</v>
      </c>
      <c r="C126" s="29" t="s">
        <v>139</v>
      </c>
      <c r="D126" s="29" t="s">
        <v>37</v>
      </c>
      <c r="E126" s="28" t="s">
        <v>253</v>
      </c>
      <c r="F126" s="28" t="s">
        <v>58</v>
      </c>
      <c r="G126" s="30">
        <f aca="true" t="shared" si="13" ref="G126:H128">39101.98</f>
        <v>39101.98</v>
      </c>
      <c r="H126" s="31">
        <f t="shared" si="13"/>
        <v>39101.98</v>
      </c>
      <c r="I126" s="31">
        <f t="shared" si="12"/>
        <v>100</v>
      </c>
    </row>
    <row r="127" spans="1:9" ht="66">
      <c r="A127" s="27" t="s">
        <v>5</v>
      </c>
      <c r="B127" s="28" t="s">
        <v>70</v>
      </c>
      <c r="C127" s="29" t="s">
        <v>139</v>
      </c>
      <c r="D127" s="29" t="s">
        <v>37</v>
      </c>
      <c r="E127" s="28" t="s">
        <v>253</v>
      </c>
      <c r="F127" s="28" t="s">
        <v>43</v>
      </c>
      <c r="G127" s="30">
        <f t="shared" si="13"/>
        <v>39101.98</v>
      </c>
      <c r="H127" s="31">
        <f t="shared" si="13"/>
        <v>39101.98</v>
      </c>
      <c r="I127" s="31">
        <f t="shared" si="12"/>
        <v>100</v>
      </c>
    </row>
    <row r="128" spans="1:9" ht="15">
      <c r="A128" s="27" t="s">
        <v>57</v>
      </c>
      <c r="B128" s="28" t="s">
        <v>70</v>
      </c>
      <c r="C128" s="29" t="s">
        <v>139</v>
      </c>
      <c r="D128" s="29" t="s">
        <v>37</v>
      </c>
      <c r="E128" s="28" t="s">
        <v>253</v>
      </c>
      <c r="F128" s="28" t="s">
        <v>51</v>
      </c>
      <c r="G128" s="30">
        <f t="shared" si="13"/>
        <v>39101.98</v>
      </c>
      <c r="H128" s="31">
        <f t="shared" si="13"/>
        <v>39101.98</v>
      </c>
      <c r="I128" s="31">
        <f t="shared" si="12"/>
        <v>100</v>
      </c>
    </row>
    <row r="129" spans="1:9" ht="26.25">
      <c r="A129" s="27" t="s">
        <v>120</v>
      </c>
      <c r="B129" s="28" t="s">
        <v>70</v>
      </c>
      <c r="C129" s="29" t="s">
        <v>139</v>
      </c>
      <c r="D129" s="29" t="s">
        <v>37</v>
      </c>
      <c r="E129" s="28" t="s">
        <v>254</v>
      </c>
      <c r="F129" s="28" t="s">
        <v>58</v>
      </c>
      <c r="G129" s="30">
        <f>1210859.98</f>
        <v>1210859.98</v>
      </c>
      <c r="H129" s="31">
        <f>1208212.51</f>
        <v>1208212.51</v>
      </c>
      <c r="I129" s="31">
        <f>99.78</f>
        <v>99.78</v>
      </c>
    </row>
    <row r="130" spans="1:9" ht="66">
      <c r="A130" s="27" t="s">
        <v>5</v>
      </c>
      <c r="B130" s="28" t="s">
        <v>70</v>
      </c>
      <c r="C130" s="29" t="s">
        <v>139</v>
      </c>
      <c r="D130" s="29" t="s">
        <v>37</v>
      </c>
      <c r="E130" s="28" t="s">
        <v>254</v>
      </c>
      <c r="F130" s="28" t="s">
        <v>43</v>
      </c>
      <c r="G130" s="30">
        <f>1210859.98</f>
        <v>1210859.98</v>
      </c>
      <c r="H130" s="31">
        <f>1208212.51</f>
        <v>1208212.51</v>
      </c>
      <c r="I130" s="31">
        <f>99.78</f>
        <v>99.78</v>
      </c>
    </row>
    <row r="131" spans="1:9" ht="15">
      <c r="A131" s="27" t="s">
        <v>57</v>
      </c>
      <c r="B131" s="28" t="s">
        <v>70</v>
      </c>
      <c r="C131" s="29" t="s">
        <v>139</v>
      </c>
      <c r="D131" s="29" t="s">
        <v>37</v>
      </c>
      <c r="E131" s="28" t="s">
        <v>254</v>
      </c>
      <c r="F131" s="28" t="s">
        <v>51</v>
      </c>
      <c r="G131" s="30">
        <f>1210859.98</f>
        <v>1210859.98</v>
      </c>
      <c r="H131" s="31">
        <f>1208212.51</f>
        <v>1208212.51</v>
      </c>
      <c r="I131" s="31">
        <f>99.78</f>
        <v>99.78</v>
      </c>
    </row>
    <row r="132" spans="1:9" ht="26.25">
      <c r="A132" s="27" t="s">
        <v>120</v>
      </c>
      <c r="B132" s="28" t="s">
        <v>70</v>
      </c>
      <c r="C132" s="29" t="s">
        <v>139</v>
      </c>
      <c r="D132" s="29" t="s">
        <v>37</v>
      </c>
      <c r="E132" s="28" t="s">
        <v>255</v>
      </c>
      <c r="F132" s="28" t="s">
        <v>58</v>
      </c>
      <c r="G132" s="30">
        <f>504081.6</f>
        <v>504081.6</v>
      </c>
      <c r="H132" s="31">
        <f>493581.16</f>
        <v>493581.16</v>
      </c>
      <c r="I132" s="31">
        <f>97.92</f>
        <v>97.92</v>
      </c>
    </row>
    <row r="133" spans="1:9" ht="66">
      <c r="A133" s="27" t="s">
        <v>5</v>
      </c>
      <c r="B133" s="28" t="s">
        <v>70</v>
      </c>
      <c r="C133" s="29" t="s">
        <v>139</v>
      </c>
      <c r="D133" s="29" t="s">
        <v>37</v>
      </c>
      <c r="E133" s="28" t="s">
        <v>255</v>
      </c>
      <c r="F133" s="28" t="s">
        <v>43</v>
      </c>
      <c r="G133" s="30">
        <f>504081.6</f>
        <v>504081.6</v>
      </c>
      <c r="H133" s="31">
        <f>493581.16</f>
        <v>493581.16</v>
      </c>
      <c r="I133" s="31">
        <f>97.92</f>
        <v>97.92</v>
      </c>
    </row>
    <row r="134" spans="1:9" ht="15">
      <c r="A134" s="27" t="s">
        <v>57</v>
      </c>
      <c r="B134" s="28" t="s">
        <v>70</v>
      </c>
      <c r="C134" s="29" t="s">
        <v>139</v>
      </c>
      <c r="D134" s="29" t="s">
        <v>37</v>
      </c>
      <c r="E134" s="28" t="s">
        <v>255</v>
      </c>
      <c r="F134" s="28" t="s">
        <v>51</v>
      </c>
      <c r="G134" s="30">
        <f>504081.6</f>
        <v>504081.6</v>
      </c>
      <c r="H134" s="31">
        <f>493581.16</f>
        <v>493581.16</v>
      </c>
      <c r="I134" s="31">
        <f>97.92</f>
        <v>97.92</v>
      </c>
    </row>
    <row r="135" spans="1:9" ht="15">
      <c r="A135" s="27" t="s">
        <v>121</v>
      </c>
      <c r="B135" s="28" t="s">
        <v>70</v>
      </c>
      <c r="C135" s="29" t="s">
        <v>139</v>
      </c>
      <c r="D135" s="29" t="s">
        <v>144</v>
      </c>
      <c r="E135" s="28" t="s">
        <v>58</v>
      </c>
      <c r="F135" s="28" t="s">
        <v>58</v>
      </c>
      <c r="G135" s="30">
        <f aca="true" t="shared" si="14" ref="G135:H139">3123.17</f>
        <v>3123.17</v>
      </c>
      <c r="H135" s="31">
        <f t="shared" si="14"/>
        <v>3123.17</v>
      </c>
      <c r="I135" s="31">
        <f aca="true" t="shared" si="15" ref="I135:I143">100</f>
        <v>100</v>
      </c>
    </row>
    <row r="136" spans="1:9" ht="39">
      <c r="A136" s="27" t="s">
        <v>199</v>
      </c>
      <c r="B136" s="28" t="s">
        <v>70</v>
      </c>
      <c r="C136" s="29" t="s">
        <v>139</v>
      </c>
      <c r="D136" s="29" t="s">
        <v>144</v>
      </c>
      <c r="E136" s="28" t="s">
        <v>200</v>
      </c>
      <c r="F136" s="28" t="s">
        <v>58</v>
      </c>
      <c r="G136" s="30">
        <f t="shared" si="14"/>
        <v>3123.17</v>
      </c>
      <c r="H136" s="31">
        <f t="shared" si="14"/>
        <v>3123.17</v>
      </c>
      <c r="I136" s="31">
        <f t="shared" si="15"/>
        <v>100</v>
      </c>
    </row>
    <row r="137" spans="1:9" ht="66">
      <c r="A137" s="27" t="s">
        <v>201</v>
      </c>
      <c r="B137" s="28" t="s">
        <v>70</v>
      </c>
      <c r="C137" s="29" t="s">
        <v>139</v>
      </c>
      <c r="D137" s="29" t="s">
        <v>144</v>
      </c>
      <c r="E137" s="28" t="s">
        <v>202</v>
      </c>
      <c r="F137" s="28" t="s">
        <v>58</v>
      </c>
      <c r="G137" s="30">
        <f t="shared" si="14"/>
        <v>3123.17</v>
      </c>
      <c r="H137" s="31">
        <f t="shared" si="14"/>
        <v>3123.17</v>
      </c>
      <c r="I137" s="31">
        <f t="shared" si="15"/>
        <v>100</v>
      </c>
    </row>
    <row r="138" spans="1:9" ht="78.75">
      <c r="A138" s="27" t="s">
        <v>219</v>
      </c>
      <c r="B138" s="28" t="s">
        <v>70</v>
      </c>
      <c r="C138" s="29" t="s">
        <v>139</v>
      </c>
      <c r="D138" s="29" t="s">
        <v>144</v>
      </c>
      <c r="E138" s="28" t="s">
        <v>220</v>
      </c>
      <c r="F138" s="28" t="s">
        <v>58</v>
      </c>
      <c r="G138" s="30">
        <f t="shared" si="14"/>
        <v>3123.17</v>
      </c>
      <c r="H138" s="31">
        <f t="shared" si="14"/>
        <v>3123.17</v>
      </c>
      <c r="I138" s="31">
        <f t="shared" si="15"/>
        <v>100</v>
      </c>
    </row>
    <row r="139" spans="1:9" ht="39">
      <c r="A139" s="27" t="s">
        <v>122</v>
      </c>
      <c r="B139" s="28" t="s">
        <v>70</v>
      </c>
      <c r="C139" s="29" t="s">
        <v>139</v>
      </c>
      <c r="D139" s="29" t="s">
        <v>144</v>
      </c>
      <c r="E139" s="28" t="s">
        <v>256</v>
      </c>
      <c r="F139" s="28" t="s">
        <v>58</v>
      </c>
      <c r="G139" s="30">
        <f t="shared" si="14"/>
        <v>3123.17</v>
      </c>
      <c r="H139" s="31">
        <f t="shared" si="14"/>
        <v>3123.17</v>
      </c>
      <c r="I139" s="31">
        <f t="shared" si="15"/>
        <v>100</v>
      </c>
    </row>
    <row r="140" spans="1:9" ht="66">
      <c r="A140" s="27" t="s">
        <v>5</v>
      </c>
      <c r="B140" s="28" t="s">
        <v>70</v>
      </c>
      <c r="C140" s="29" t="s">
        <v>139</v>
      </c>
      <c r="D140" s="29" t="s">
        <v>144</v>
      </c>
      <c r="E140" s="28" t="s">
        <v>256</v>
      </c>
      <c r="F140" s="28" t="s">
        <v>43</v>
      </c>
      <c r="G140" s="30">
        <f>31.23</f>
        <v>31.23</v>
      </c>
      <c r="H140" s="31">
        <f>31.23</f>
        <v>31.23</v>
      </c>
      <c r="I140" s="31">
        <f t="shared" si="15"/>
        <v>100</v>
      </c>
    </row>
    <row r="141" spans="1:9" ht="26.25">
      <c r="A141" s="27" t="s">
        <v>6</v>
      </c>
      <c r="B141" s="28" t="s">
        <v>70</v>
      </c>
      <c r="C141" s="29" t="s">
        <v>139</v>
      </c>
      <c r="D141" s="29" t="s">
        <v>144</v>
      </c>
      <c r="E141" s="28" t="s">
        <v>256</v>
      </c>
      <c r="F141" s="28" t="s">
        <v>44</v>
      </c>
      <c r="G141" s="30">
        <f>31.23</f>
        <v>31.23</v>
      </c>
      <c r="H141" s="31">
        <f>31.23</f>
        <v>31.23</v>
      </c>
      <c r="I141" s="31">
        <f t="shared" si="15"/>
        <v>100</v>
      </c>
    </row>
    <row r="142" spans="1:9" ht="26.25">
      <c r="A142" s="27" t="s">
        <v>10</v>
      </c>
      <c r="B142" s="28" t="s">
        <v>70</v>
      </c>
      <c r="C142" s="29" t="s">
        <v>139</v>
      </c>
      <c r="D142" s="29" t="s">
        <v>144</v>
      </c>
      <c r="E142" s="28" t="s">
        <v>256</v>
      </c>
      <c r="F142" s="28" t="s">
        <v>47</v>
      </c>
      <c r="G142" s="30">
        <f>3091.94</f>
        <v>3091.94</v>
      </c>
      <c r="H142" s="31">
        <f>3091.94</f>
        <v>3091.94</v>
      </c>
      <c r="I142" s="31">
        <f t="shared" si="15"/>
        <v>100</v>
      </c>
    </row>
    <row r="143" spans="1:9" ht="26.25">
      <c r="A143" s="27" t="s">
        <v>11</v>
      </c>
      <c r="B143" s="28" t="s">
        <v>70</v>
      </c>
      <c r="C143" s="29" t="s">
        <v>139</v>
      </c>
      <c r="D143" s="29" t="s">
        <v>144</v>
      </c>
      <c r="E143" s="28" t="s">
        <v>256</v>
      </c>
      <c r="F143" s="28" t="s">
        <v>48</v>
      </c>
      <c r="G143" s="30">
        <f>3091.94</f>
        <v>3091.94</v>
      </c>
      <c r="H143" s="31">
        <f>3091.94</f>
        <v>3091.94</v>
      </c>
      <c r="I143" s="31">
        <f t="shared" si="15"/>
        <v>100</v>
      </c>
    </row>
    <row r="144" spans="1:9" ht="15">
      <c r="A144" s="27" t="s">
        <v>21</v>
      </c>
      <c r="B144" s="28" t="s">
        <v>70</v>
      </c>
      <c r="C144" s="29" t="s">
        <v>139</v>
      </c>
      <c r="D144" s="29" t="s">
        <v>145</v>
      </c>
      <c r="E144" s="28" t="s">
        <v>58</v>
      </c>
      <c r="F144" s="28" t="s">
        <v>58</v>
      </c>
      <c r="G144" s="30">
        <f>8430469.68</f>
        <v>8430469.68</v>
      </c>
      <c r="H144" s="31">
        <f>4414684.57</f>
        <v>4414684.57</v>
      </c>
      <c r="I144" s="31">
        <f>52.37</f>
        <v>52.37</v>
      </c>
    </row>
    <row r="145" spans="1:9" ht="39">
      <c r="A145" s="27" t="s">
        <v>257</v>
      </c>
      <c r="B145" s="28" t="s">
        <v>70</v>
      </c>
      <c r="C145" s="29" t="s">
        <v>139</v>
      </c>
      <c r="D145" s="29" t="s">
        <v>145</v>
      </c>
      <c r="E145" s="28" t="s">
        <v>258</v>
      </c>
      <c r="F145" s="28" t="s">
        <v>58</v>
      </c>
      <c r="G145" s="30">
        <f>8430469.68</f>
        <v>8430469.68</v>
      </c>
      <c r="H145" s="31">
        <f>4414684.57</f>
        <v>4414684.57</v>
      </c>
      <c r="I145" s="31">
        <f>52.37</f>
        <v>52.37</v>
      </c>
    </row>
    <row r="146" spans="1:9" ht="39">
      <c r="A146" s="27" t="s">
        <v>123</v>
      </c>
      <c r="B146" s="28" t="s">
        <v>70</v>
      </c>
      <c r="C146" s="29" t="s">
        <v>139</v>
      </c>
      <c r="D146" s="29" t="s">
        <v>145</v>
      </c>
      <c r="E146" s="28" t="s">
        <v>259</v>
      </c>
      <c r="F146" s="28" t="s">
        <v>58</v>
      </c>
      <c r="G146" s="30">
        <f>8430469.68</f>
        <v>8430469.68</v>
      </c>
      <c r="H146" s="31">
        <f>4414684.57</f>
        <v>4414684.57</v>
      </c>
      <c r="I146" s="31">
        <f>52.37</f>
        <v>52.37</v>
      </c>
    </row>
    <row r="147" spans="1:9" ht="39">
      <c r="A147" s="27" t="s">
        <v>260</v>
      </c>
      <c r="B147" s="28" t="s">
        <v>70</v>
      </c>
      <c r="C147" s="29" t="s">
        <v>139</v>
      </c>
      <c r="D147" s="29" t="s">
        <v>145</v>
      </c>
      <c r="E147" s="28" t="s">
        <v>261</v>
      </c>
      <c r="F147" s="28" t="s">
        <v>58</v>
      </c>
      <c r="G147" s="30">
        <f>2020997.46</f>
        <v>2020997.46</v>
      </c>
      <c r="H147" s="31">
        <f>1994996.86</f>
        <v>1994996.86</v>
      </c>
      <c r="I147" s="31">
        <f>98.71</f>
        <v>98.71</v>
      </c>
    </row>
    <row r="148" spans="1:9" ht="26.25">
      <c r="A148" s="27" t="s">
        <v>262</v>
      </c>
      <c r="B148" s="28" t="s">
        <v>70</v>
      </c>
      <c r="C148" s="29" t="s">
        <v>139</v>
      </c>
      <c r="D148" s="29" t="s">
        <v>145</v>
      </c>
      <c r="E148" s="28" t="s">
        <v>263</v>
      </c>
      <c r="F148" s="28" t="s">
        <v>58</v>
      </c>
      <c r="G148" s="30">
        <f>2020997.46</f>
        <v>2020997.46</v>
      </c>
      <c r="H148" s="31">
        <f>1994996.86</f>
        <v>1994996.86</v>
      </c>
      <c r="I148" s="31">
        <f>98.71</f>
        <v>98.71</v>
      </c>
    </row>
    <row r="149" spans="1:9" ht="26.25">
      <c r="A149" s="27" t="s">
        <v>10</v>
      </c>
      <c r="B149" s="28" t="s">
        <v>70</v>
      </c>
      <c r="C149" s="29" t="s">
        <v>139</v>
      </c>
      <c r="D149" s="29" t="s">
        <v>145</v>
      </c>
      <c r="E149" s="28" t="s">
        <v>263</v>
      </c>
      <c r="F149" s="28" t="s">
        <v>47</v>
      </c>
      <c r="G149" s="30">
        <f>2020997.46</f>
        <v>2020997.46</v>
      </c>
      <c r="H149" s="31">
        <f>1994996.86</f>
        <v>1994996.86</v>
      </c>
      <c r="I149" s="31">
        <f>98.71</f>
        <v>98.71</v>
      </c>
    </row>
    <row r="150" spans="1:9" ht="26.25">
      <c r="A150" s="27" t="s">
        <v>11</v>
      </c>
      <c r="B150" s="28" t="s">
        <v>70</v>
      </c>
      <c r="C150" s="29" t="s">
        <v>139</v>
      </c>
      <c r="D150" s="29" t="s">
        <v>145</v>
      </c>
      <c r="E150" s="28" t="s">
        <v>263</v>
      </c>
      <c r="F150" s="28" t="s">
        <v>48</v>
      </c>
      <c r="G150" s="30">
        <f>2020997.46</f>
        <v>2020997.46</v>
      </c>
      <c r="H150" s="31">
        <f>1994996.86</f>
        <v>1994996.86</v>
      </c>
      <c r="I150" s="31">
        <f>98.71</f>
        <v>98.71</v>
      </c>
    </row>
    <row r="151" spans="1:9" ht="26.25">
      <c r="A151" s="27" t="s">
        <v>264</v>
      </c>
      <c r="B151" s="28" t="s">
        <v>70</v>
      </c>
      <c r="C151" s="29" t="s">
        <v>139</v>
      </c>
      <c r="D151" s="29" t="s">
        <v>145</v>
      </c>
      <c r="E151" s="28" t="s">
        <v>265</v>
      </c>
      <c r="F151" s="28" t="s">
        <v>58</v>
      </c>
      <c r="G151" s="30">
        <f aca="true" t="shared" si="16" ref="G151:H154">750000</f>
        <v>750000</v>
      </c>
      <c r="H151" s="31">
        <f t="shared" si="16"/>
        <v>750000</v>
      </c>
      <c r="I151" s="31">
        <f aca="true" t="shared" si="17" ref="I151:I158">100</f>
        <v>100</v>
      </c>
    </row>
    <row r="152" spans="1:9" ht="26.25">
      <c r="A152" s="27" t="s">
        <v>262</v>
      </c>
      <c r="B152" s="28" t="s">
        <v>70</v>
      </c>
      <c r="C152" s="29" t="s">
        <v>139</v>
      </c>
      <c r="D152" s="29" t="s">
        <v>145</v>
      </c>
      <c r="E152" s="28" t="s">
        <v>266</v>
      </c>
      <c r="F152" s="28" t="s">
        <v>58</v>
      </c>
      <c r="G152" s="30">
        <f t="shared" si="16"/>
        <v>750000</v>
      </c>
      <c r="H152" s="31">
        <f t="shared" si="16"/>
        <v>750000</v>
      </c>
      <c r="I152" s="31">
        <f t="shared" si="17"/>
        <v>100</v>
      </c>
    </row>
    <row r="153" spans="1:9" ht="26.25">
      <c r="A153" s="27" t="s">
        <v>10</v>
      </c>
      <c r="B153" s="28" t="s">
        <v>70</v>
      </c>
      <c r="C153" s="29" t="s">
        <v>139</v>
      </c>
      <c r="D153" s="29" t="s">
        <v>145</v>
      </c>
      <c r="E153" s="28" t="s">
        <v>266</v>
      </c>
      <c r="F153" s="28" t="s">
        <v>47</v>
      </c>
      <c r="G153" s="30">
        <f t="shared" si="16"/>
        <v>750000</v>
      </c>
      <c r="H153" s="31">
        <f t="shared" si="16"/>
        <v>750000</v>
      </c>
      <c r="I153" s="31">
        <f t="shared" si="17"/>
        <v>100</v>
      </c>
    </row>
    <row r="154" spans="1:9" ht="26.25">
      <c r="A154" s="27" t="s">
        <v>11</v>
      </c>
      <c r="B154" s="28" t="s">
        <v>70</v>
      </c>
      <c r="C154" s="29" t="s">
        <v>139</v>
      </c>
      <c r="D154" s="29" t="s">
        <v>145</v>
      </c>
      <c r="E154" s="28" t="s">
        <v>266</v>
      </c>
      <c r="F154" s="28" t="s">
        <v>48</v>
      </c>
      <c r="G154" s="30">
        <f t="shared" si="16"/>
        <v>750000</v>
      </c>
      <c r="H154" s="31">
        <f t="shared" si="16"/>
        <v>750000</v>
      </c>
      <c r="I154" s="31">
        <f t="shared" si="17"/>
        <v>100</v>
      </c>
    </row>
    <row r="155" spans="1:9" ht="39">
      <c r="A155" s="27" t="s">
        <v>267</v>
      </c>
      <c r="B155" s="28" t="s">
        <v>70</v>
      </c>
      <c r="C155" s="29" t="s">
        <v>139</v>
      </c>
      <c r="D155" s="29" t="s">
        <v>145</v>
      </c>
      <c r="E155" s="28" t="s">
        <v>268</v>
      </c>
      <c r="F155" s="28" t="s">
        <v>58</v>
      </c>
      <c r="G155" s="30">
        <f aca="true" t="shared" si="18" ref="G155:H158">300000</f>
        <v>300000</v>
      </c>
      <c r="H155" s="31">
        <f t="shared" si="18"/>
        <v>300000</v>
      </c>
      <c r="I155" s="31">
        <f t="shared" si="17"/>
        <v>100</v>
      </c>
    </row>
    <row r="156" spans="1:9" ht="26.25">
      <c r="A156" s="27" t="s">
        <v>262</v>
      </c>
      <c r="B156" s="28" t="s">
        <v>70</v>
      </c>
      <c r="C156" s="29" t="s">
        <v>139</v>
      </c>
      <c r="D156" s="29" t="s">
        <v>145</v>
      </c>
      <c r="E156" s="28" t="s">
        <v>269</v>
      </c>
      <c r="F156" s="28" t="s">
        <v>58</v>
      </c>
      <c r="G156" s="30">
        <f t="shared" si="18"/>
        <v>300000</v>
      </c>
      <c r="H156" s="31">
        <f t="shared" si="18"/>
        <v>300000</v>
      </c>
      <c r="I156" s="31">
        <f t="shared" si="17"/>
        <v>100</v>
      </c>
    </row>
    <row r="157" spans="1:9" ht="26.25">
      <c r="A157" s="27" t="s">
        <v>10</v>
      </c>
      <c r="B157" s="28" t="s">
        <v>70</v>
      </c>
      <c r="C157" s="29" t="s">
        <v>139</v>
      </c>
      <c r="D157" s="29" t="s">
        <v>145</v>
      </c>
      <c r="E157" s="28" t="s">
        <v>269</v>
      </c>
      <c r="F157" s="28" t="s">
        <v>47</v>
      </c>
      <c r="G157" s="30">
        <f t="shared" si="18"/>
        <v>300000</v>
      </c>
      <c r="H157" s="31">
        <f t="shared" si="18"/>
        <v>300000</v>
      </c>
      <c r="I157" s="31">
        <f t="shared" si="17"/>
        <v>100</v>
      </c>
    </row>
    <row r="158" spans="1:9" ht="26.25">
      <c r="A158" s="27" t="s">
        <v>11</v>
      </c>
      <c r="B158" s="28" t="s">
        <v>70</v>
      </c>
      <c r="C158" s="29" t="s">
        <v>139</v>
      </c>
      <c r="D158" s="29" t="s">
        <v>145</v>
      </c>
      <c r="E158" s="28" t="s">
        <v>269</v>
      </c>
      <c r="F158" s="28" t="s">
        <v>48</v>
      </c>
      <c r="G158" s="30">
        <f t="shared" si="18"/>
        <v>300000</v>
      </c>
      <c r="H158" s="31">
        <f t="shared" si="18"/>
        <v>300000</v>
      </c>
      <c r="I158" s="31">
        <f t="shared" si="17"/>
        <v>100</v>
      </c>
    </row>
    <row r="159" spans="1:9" ht="39">
      <c r="A159" s="27" t="s">
        <v>270</v>
      </c>
      <c r="B159" s="28" t="s">
        <v>70</v>
      </c>
      <c r="C159" s="29" t="s">
        <v>139</v>
      </c>
      <c r="D159" s="29" t="s">
        <v>145</v>
      </c>
      <c r="E159" s="28" t="s">
        <v>271</v>
      </c>
      <c r="F159" s="28" t="s">
        <v>58</v>
      </c>
      <c r="G159" s="30">
        <f>1300934.62</f>
        <v>1300934.62</v>
      </c>
      <c r="H159" s="31">
        <f>885616.63</f>
        <v>885616.63</v>
      </c>
      <c r="I159" s="31">
        <f>68.08</f>
        <v>68.08</v>
      </c>
    </row>
    <row r="160" spans="1:9" ht="26.25">
      <c r="A160" s="27" t="s">
        <v>262</v>
      </c>
      <c r="B160" s="28" t="s">
        <v>70</v>
      </c>
      <c r="C160" s="29" t="s">
        <v>139</v>
      </c>
      <c r="D160" s="29" t="s">
        <v>145</v>
      </c>
      <c r="E160" s="28" t="s">
        <v>272</v>
      </c>
      <c r="F160" s="28" t="s">
        <v>58</v>
      </c>
      <c r="G160" s="30">
        <f>1300934.62</f>
        <v>1300934.62</v>
      </c>
      <c r="H160" s="31">
        <f>885616.63</f>
        <v>885616.63</v>
      </c>
      <c r="I160" s="31">
        <f>68.08</f>
        <v>68.08</v>
      </c>
    </row>
    <row r="161" spans="1:9" ht="26.25">
      <c r="A161" s="27" t="s">
        <v>10</v>
      </c>
      <c r="B161" s="28" t="s">
        <v>70</v>
      </c>
      <c r="C161" s="29" t="s">
        <v>139</v>
      </c>
      <c r="D161" s="29" t="s">
        <v>145</v>
      </c>
      <c r="E161" s="28" t="s">
        <v>272</v>
      </c>
      <c r="F161" s="28" t="s">
        <v>47</v>
      </c>
      <c r="G161" s="30">
        <f>1300934.62</f>
        <v>1300934.62</v>
      </c>
      <c r="H161" s="31">
        <f>885616.63</f>
        <v>885616.63</v>
      </c>
      <c r="I161" s="31">
        <f>68.08</f>
        <v>68.08</v>
      </c>
    </row>
    <row r="162" spans="1:9" ht="26.25">
      <c r="A162" s="27" t="s">
        <v>11</v>
      </c>
      <c r="B162" s="28" t="s">
        <v>70</v>
      </c>
      <c r="C162" s="29" t="s">
        <v>139</v>
      </c>
      <c r="D162" s="29" t="s">
        <v>145</v>
      </c>
      <c r="E162" s="28" t="s">
        <v>272</v>
      </c>
      <c r="F162" s="28" t="s">
        <v>48</v>
      </c>
      <c r="G162" s="30">
        <f>1300934.62</f>
        <v>1300934.62</v>
      </c>
      <c r="H162" s="31">
        <f>885616.63</f>
        <v>885616.63</v>
      </c>
      <c r="I162" s="31">
        <f>68.08</f>
        <v>68.08</v>
      </c>
    </row>
    <row r="163" spans="1:9" ht="39">
      <c r="A163" s="27" t="s">
        <v>273</v>
      </c>
      <c r="B163" s="28" t="s">
        <v>70</v>
      </c>
      <c r="C163" s="29" t="s">
        <v>139</v>
      </c>
      <c r="D163" s="29" t="s">
        <v>145</v>
      </c>
      <c r="E163" s="28" t="s">
        <v>274</v>
      </c>
      <c r="F163" s="28" t="s">
        <v>58</v>
      </c>
      <c r="G163" s="30">
        <f aca="true" t="shared" si="19" ref="G163:H166">249910.38</f>
        <v>249910.38</v>
      </c>
      <c r="H163" s="31">
        <f t="shared" si="19"/>
        <v>249910.38</v>
      </c>
      <c r="I163" s="31">
        <f>100</f>
        <v>100</v>
      </c>
    </row>
    <row r="164" spans="1:9" ht="26.25">
      <c r="A164" s="27" t="s">
        <v>262</v>
      </c>
      <c r="B164" s="28" t="s">
        <v>70</v>
      </c>
      <c r="C164" s="29" t="s">
        <v>139</v>
      </c>
      <c r="D164" s="29" t="s">
        <v>145</v>
      </c>
      <c r="E164" s="28" t="s">
        <v>275</v>
      </c>
      <c r="F164" s="28" t="s">
        <v>58</v>
      </c>
      <c r="G164" s="30">
        <f t="shared" si="19"/>
        <v>249910.38</v>
      </c>
      <c r="H164" s="31">
        <f t="shared" si="19"/>
        <v>249910.38</v>
      </c>
      <c r="I164" s="31">
        <f>100</f>
        <v>100</v>
      </c>
    </row>
    <row r="165" spans="1:9" ht="26.25">
      <c r="A165" s="27" t="s">
        <v>10</v>
      </c>
      <c r="B165" s="28" t="s">
        <v>70</v>
      </c>
      <c r="C165" s="29" t="s">
        <v>139</v>
      </c>
      <c r="D165" s="29" t="s">
        <v>145</v>
      </c>
      <c r="E165" s="28" t="s">
        <v>275</v>
      </c>
      <c r="F165" s="28" t="s">
        <v>47</v>
      </c>
      <c r="G165" s="30">
        <f t="shared" si="19"/>
        <v>249910.38</v>
      </c>
      <c r="H165" s="31">
        <f t="shared" si="19"/>
        <v>249910.38</v>
      </c>
      <c r="I165" s="31">
        <f>100</f>
        <v>100</v>
      </c>
    </row>
    <row r="166" spans="1:9" ht="26.25">
      <c r="A166" s="27" t="s">
        <v>11</v>
      </c>
      <c r="B166" s="28" t="s">
        <v>70</v>
      </c>
      <c r="C166" s="29" t="s">
        <v>139</v>
      </c>
      <c r="D166" s="29" t="s">
        <v>145</v>
      </c>
      <c r="E166" s="28" t="s">
        <v>275</v>
      </c>
      <c r="F166" s="28" t="s">
        <v>48</v>
      </c>
      <c r="G166" s="30">
        <f t="shared" si="19"/>
        <v>249910.38</v>
      </c>
      <c r="H166" s="31">
        <f t="shared" si="19"/>
        <v>249910.38</v>
      </c>
      <c r="I166" s="31">
        <f>100</f>
        <v>100</v>
      </c>
    </row>
    <row r="167" spans="1:9" ht="39">
      <c r="A167" s="27" t="s">
        <v>276</v>
      </c>
      <c r="B167" s="28" t="s">
        <v>70</v>
      </c>
      <c r="C167" s="29" t="s">
        <v>139</v>
      </c>
      <c r="D167" s="29" t="s">
        <v>145</v>
      </c>
      <c r="E167" s="28" t="s">
        <v>277</v>
      </c>
      <c r="F167" s="28" t="s">
        <v>58</v>
      </c>
      <c r="G167" s="30">
        <f>3619466.52</f>
        <v>3619466.52</v>
      </c>
      <c r="H167" s="31">
        <f>45000</f>
        <v>45000</v>
      </c>
      <c r="I167" s="31">
        <f>1.24</f>
        <v>1.24</v>
      </c>
    </row>
    <row r="168" spans="1:9" ht="26.25">
      <c r="A168" s="27" t="s">
        <v>262</v>
      </c>
      <c r="B168" s="28" t="s">
        <v>70</v>
      </c>
      <c r="C168" s="29" t="s">
        <v>139</v>
      </c>
      <c r="D168" s="29" t="s">
        <v>145</v>
      </c>
      <c r="E168" s="28" t="s">
        <v>278</v>
      </c>
      <c r="F168" s="28" t="s">
        <v>58</v>
      </c>
      <c r="G168" s="30">
        <f>3619466.52</f>
        <v>3619466.52</v>
      </c>
      <c r="H168" s="31">
        <f>45000</f>
        <v>45000</v>
      </c>
      <c r="I168" s="31">
        <f>1.24</f>
        <v>1.24</v>
      </c>
    </row>
    <row r="169" spans="1:9" ht="26.25">
      <c r="A169" s="27" t="s">
        <v>10</v>
      </c>
      <c r="B169" s="28" t="s">
        <v>70</v>
      </c>
      <c r="C169" s="29" t="s">
        <v>139</v>
      </c>
      <c r="D169" s="29" t="s">
        <v>145</v>
      </c>
      <c r="E169" s="28" t="s">
        <v>278</v>
      </c>
      <c r="F169" s="28" t="s">
        <v>47</v>
      </c>
      <c r="G169" s="30">
        <f>3619466.52</f>
        <v>3619466.52</v>
      </c>
      <c r="H169" s="31">
        <f>45000</f>
        <v>45000</v>
      </c>
      <c r="I169" s="31">
        <f>1.24</f>
        <v>1.24</v>
      </c>
    </row>
    <row r="170" spans="1:9" ht="26.25">
      <c r="A170" s="27" t="s">
        <v>11</v>
      </c>
      <c r="B170" s="28" t="s">
        <v>70</v>
      </c>
      <c r="C170" s="29" t="s">
        <v>139</v>
      </c>
      <c r="D170" s="29" t="s">
        <v>145</v>
      </c>
      <c r="E170" s="28" t="s">
        <v>278</v>
      </c>
      <c r="F170" s="28" t="s">
        <v>48</v>
      </c>
      <c r="G170" s="30">
        <f>3619466.52</f>
        <v>3619466.52</v>
      </c>
      <c r="H170" s="31">
        <f>45000</f>
        <v>45000</v>
      </c>
      <c r="I170" s="31">
        <f>1.24</f>
        <v>1.24</v>
      </c>
    </row>
    <row r="171" spans="1:9" ht="66">
      <c r="A171" s="27" t="s">
        <v>279</v>
      </c>
      <c r="B171" s="28" t="s">
        <v>70</v>
      </c>
      <c r="C171" s="29" t="s">
        <v>139</v>
      </c>
      <c r="D171" s="29" t="s">
        <v>145</v>
      </c>
      <c r="E171" s="28" t="s">
        <v>280</v>
      </c>
      <c r="F171" s="28" t="s">
        <v>58</v>
      </c>
      <c r="G171" s="30">
        <f aca="true" t="shared" si="20" ref="G171:H174">50800</f>
        <v>50800</v>
      </c>
      <c r="H171" s="31">
        <f t="shared" si="20"/>
        <v>50800</v>
      </c>
      <c r="I171" s="31">
        <f aca="true" t="shared" si="21" ref="I171:I178">100</f>
        <v>100</v>
      </c>
    </row>
    <row r="172" spans="1:9" ht="26.25">
      <c r="A172" s="27" t="s">
        <v>262</v>
      </c>
      <c r="B172" s="28" t="s">
        <v>70</v>
      </c>
      <c r="C172" s="29" t="s">
        <v>139</v>
      </c>
      <c r="D172" s="29" t="s">
        <v>145</v>
      </c>
      <c r="E172" s="28" t="s">
        <v>281</v>
      </c>
      <c r="F172" s="28" t="s">
        <v>58</v>
      </c>
      <c r="G172" s="30">
        <f t="shared" si="20"/>
        <v>50800</v>
      </c>
      <c r="H172" s="31">
        <f t="shared" si="20"/>
        <v>50800</v>
      </c>
      <c r="I172" s="31">
        <f t="shared" si="21"/>
        <v>100</v>
      </c>
    </row>
    <row r="173" spans="1:9" ht="26.25">
      <c r="A173" s="27" t="s">
        <v>10</v>
      </c>
      <c r="B173" s="28" t="s">
        <v>70</v>
      </c>
      <c r="C173" s="29" t="s">
        <v>139</v>
      </c>
      <c r="D173" s="29" t="s">
        <v>145</v>
      </c>
      <c r="E173" s="28" t="s">
        <v>281</v>
      </c>
      <c r="F173" s="28" t="s">
        <v>47</v>
      </c>
      <c r="G173" s="30">
        <f t="shared" si="20"/>
        <v>50800</v>
      </c>
      <c r="H173" s="31">
        <f t="shared" si="20"/>
        <v>50800</v>
      </c>
      <c r="I173" s="31">
        <f t="shared" si="21"/>
        <v>100</v>
      </c>
    </row>
    <row r="174" spans="1:9" ht="26.25">
      <c r="A174" s="27" t="s">
        <v>11</v>
      </c>
      <c r="B174" s="28" t="s">
        <v>70</v>
      </c>
      <c r="C174" s="29" t="s">
        <v>139</v>
      </c>
      <c r="D174" s="29" t="s">
        <v>145</v>
      </c>
      <c r="E174" s="28" t="s">
        <v>281</v>
      </c>
      <c r="F174" s="28" t="s">
        <v>48</v>
      </c>
      <c r="G174" s="30">
        <f t="shared" si="20"/>
        <v>50800</v>
      </c>
      <c r="H174" s="31">
        <f t="shared" si="20"/>
        <v>50800</v>
      </c>
      <c r="I174" s="31">
        <f t="shared" si="21"/>
        <v>100</v>
      </c>
    </row>
    <row r="175" spans="1:9" ht="52.5">
      <c r="A175" s="27" t="s">
        <v>282</v>
      </c>
      <c r="B175" s="28" t="s">
        <v>70</v>
      </c>
      <c r="C175" s="29" t="s">
        <v>139</v>
      </c>
      <c r="D175" s="29" t="s">
        <v>145</v>
      </c>
      <c r="E175" s="28" t="s">
        <v>283</v>
      </c>
      <c r="F175" s="28" t="s">
        <v>58</v>
      </c>
      <c r="G175" s="30">
        <f aca="true" t="shared" si="22" ref="G175:H178">138360.7</f>
        <v>138360.7</v>
      </c>
      <c r="H175" s="31">
        <f t="shared" si="22"/>
        <v>138360.7</v>
      </c>
      <c r="I175" s="31">
        <f t="shared" si="21"/>
        <v>100</v>
      </c>
    </row>
    <row r="176" spans="1:9" ht="26.25">
      <c r="A176" s="27" t="s">
        <v>262</v>
      </c>
      <c r="B176" s="28" t="s">
        <v>70</v>
      </c>
      <c r="C176" s="29" t="s">
        <v>139</v>
      </c>
      <c r="D176" s="29" t="s">
        <v>145</v>
      </c>
      <c r="E176" s="28" t="s">
        <v>284</v>
      </c>
      <c r="F176" s="28" t="s">
        <v>58</v>
      </c>
      <c r="G176" s="30">
        <f t="shared" si="22"/>
        <v>138360.7</v>
      </c>
      <c r="H176" s="31">
        <f t="shared" si="22"/>
        <v>138360.7</v>
      </c>
      <c r="I176" s="31">
        <f t="shared" si="21"/>
        <v>100</v>
      </c>
    </row>
    <row r="177" spans="1:9" ht="26.25">
      <c r="A177" s="27" t="s">
        <v>10</v>
      </c>
      <c r="B177" s="28" t="s">
        <v>70</v>
      </c>
      <c r="C177" s="29" t="s">
        <v>139</v>
      </c>
      <c r="D177" s="29" t="s">
        <v>145</v>
      </c>
      <c r="E177" s="28" t="s">
        <v>284</v>
      </c>
      <c r="F177" s="28" t="s">
        <v>47</v>
      </c>
      <c r="G177" s="30">
        <f t="shared" si="22"/>
        <v>138360.7</v>
      </c>
      <c r="H177" s="31">
        <f t="shared" si="22"/>
        <v>138360.7</v>
      </c>
      <c r="I177" s="31">
        <f t="shared" si="21"/>
        <v>100</v>
      </c>
    </row>
    <row r="178" spans="1:9" ht="26.25">
      <c r="A178" s="27" t="s">
        <v>11</v>
      </c>
      <c r="B178" s="28" t="s">
        <v>70</v>
      </c>
      <c r="C178" s="29" t="s">
        <v>139</v>
      </c>
      <c r="D178" s="29" t="s">
        <v>145</v>
      </c>
      <c r="E178" s="28" t="s">
        <v>284</v>
      </c>
      <c r="F178" s="28" t="s">
        <v>48</v>
      </c>
      <c r="G178" s="30">
        <f t="shared" si="22"/>
        <v>138360.7</v>
      </c>
      <c r="H178" s="31">
        <f t="shared" si="22"/>
        <v>138360.7</v>
      </c>
      <c r="I178" s="31">
        <f t="shared" si="21"/>
        <v>100</v>
      </c>
    </row>
    <row r="179" spans="1:9" ht="15">
      <c r="A179" s="27" t="s">
        <v>22</v>
      </c>
      <c r="B179" s="28" t="s">
        <v>70</v>
      </c>
      <c r="C179" s="29" t="s">
        <v>144</v>
      </c>
      <c r="D179" s="29" t="s">
        <v>138</v>
      </c>
      <c r="E179" s="28" t="s">
        <v>58</v>
      </c>
      <c r="F179" s="28" t="s">
        <v>58</v>
      </c>
      <c r="G179" s="30">
        <f>5265677.41</f>
        <v>5265677.41</v>
      </c>
      <c r="H179" s="31">
        <f>5178604.61</f>
        <v>5178604.61</v>
      </c>
      <c r="I179" s="31">
        <f>98.35</f>
        <v>98.35</v>
      </c>
    </row>
    <row r="180" spans="1:9" ht="15">
      <c r="A180" s="27" t="s">
        <v>23</v>
      </c>
      <c r="B180" s="28" t="s">
        <v>70</v>
      </c>
      <c r="C180" s="29" t="s">
        <v>144</v>
      </c>
      <c r="D180" s="29" t="s">
        <v>37</v>
      </c>
      <c r="E180" s="28" t="s">
        <v>58</v>
      </c>
      <c r="F180" s="28" t="s">
        <v>58</v>
      </c>
      <c r="G180" s="30">
        <f>775602.37</f>
        <v>775602.37</v>
      </c>
      <c r="H180" s="31">
        <f>689451.57</f>
        <v>689451.57</v>
      </c>
      <c r="I180" s="31">
        <f>88.89</f>
        <v>88.89</v>
      </c>
    </row>
    <row r="181" spans="1:9" ht="26.25">
      <c r="A181" s="27" t="s">
        <v>285</v>
      </c>
      <c r="B181" s="28" t="s">
        <v>70</v>
      </c>
      <c r="C181" s="29" t="s">
        <v>144</v>
      </c>
      <c r="D181" s="29" t="s">
        <v>37</v>
      </c>
      <c r="E181" s="28" t="s">
        <v>286</v>
      </c>
      <c r="F181" s="28" t="s">
        <v>58</v>
      </c>
      <c r="G181" s="30">
        <f>775602.37</f>
        <v>775602.37</v>
      </c>
      <c r="H181" s="31">
        <f>689451.57</f>
        <v>689451.57</v>
      </c>
      <c r="I181" s="31">
        <f>88.89</f>
        <v>88.89</v>
      </c>
    </row>
    <row r="182" spans="1:9" ht="15">
      <c r="A182" s="27" t="s">
        <v>287</v>
      </c>
      <c r="B182" s="28" t="s">
        <v>70</v>
      </c>
      <c r="C182" s="29" t="s">
        <v>144</v>
      </c>
      <c r="D182" s="29" t="s">
        <v>37</v>
      </c>
      <c r="E182" s="28" t="s">
        <v>288</v>
      </c>
      <c r="F182" s="28" t="s">
        <v>58</v>
      </c>
      <c r="G182" s="30">
        <f>775602.37</f>
        <v>775602.37</v>
      </c>
      <c r="H182" s="31">
        <f>689451.57</f>
        <v>689451.57</v>
      </c>
      <c r="I182" s="31">
        <f>88.89</f>
        <v>88.89</v>
      </c>
    </row>
    <row r="183" spans="1:9" ht="26.25">
      <c r="A183" s="27" t="s">
        <v>289</v>
      </c>
      <c r="B183" s="28" t="s">
        <v>70</v>
      </c>
      <c r="C183" s="29" t="s">
        <v>144</v>
      </c>
      <c r="D183" s="29" t="s">
        <v>37</v>
      </c>
      <c r="E183" s="28" t="s">
        <v>290</v>
      </c>
      <c r="F183" s="28" t="s">
        <v>58</v>
      </c>
      <c r="G183" s="30">
        <f aca="true" t="shared" si="23" ref="G183:H186">208936</f>
        <v>208936</v>
      </c>
      <c r="H183" s="31">
        <f t="shared" si="23"/>
        <v>208936</v>
      </c>
      <c r="I183" s="31">
        <f>100</f>
        <v>100</v>
      </c>
    </row>
    <row r="184" spans="1:9" ht="15">
      <c r="A184" s="27" t="s">
        <v>117</v>
      </c>
      <c r="B184" s="28" t="s">
        <v>70</v>
      </c>
      <c r="C184" s="29" t="s">
        <v>144</v>
      </c>
      <c r="D184" s="29" t="s">
        <v>37</v>
      </c>
      <c r="E184" s="28" t="s">
        <v>291</v>
      </c>
      <c r="F184" s="28" t="s">
        <v>58</v>
      </c>
      <c r="G184" s="30">
        <f t="shared" si="23"/>
        <v>208936</v>
      </c>
      <c r="H184" s="31">
        <f t="shared" si="23"/>
        <v>208936</v>
      </c>
      <c r="I184" s="31">
        <f>100</f>
        <v>100</v>
      </c>
    </row>
    <row r="185" spans="1:9" ht="26.25">
      <c r="A185" s="27" t="s">
        <v>10</v>
      </c>
      <c r="B185" s="28" t="s">
        <v>70</v>
      </c>
      <c r="C185" s="29" t="s">
        <v>144</v>
      </c>
      <c r="D185" s="29" t="s">
        <v>37</v>
      </c>
      <c r="E185" s="28" t="s">
        <v>291</v>
      </c>
      <c r="F185" s="28" t="s">
        <v>47</v>
      </c>
      <c r="G185" s="30">
        <f t="shared" si="23"/>
        <v>208936</v>
      </c>
      <c r="H185" s="31">
        <f t="shared" si="23"/>
        <v>208936</v>
      </c>
      <c r="I185" s="31">
        <f>100</f>
        <v>100</v>
      </c>
    </row>
    <row r="186" spans="1:9" ht="26.25">
      <c r="A186" s="27" t="s">
        <v>11</v>
      </c>
      <c r="B186" s="28" t="s">
        <v>70</v>
      </c>
      <c r="C186" s="29" t="s">
        <v>144</v>
      </c>
      <c r="D186" s="29" t="s">
        <v>37</v>
      </c>
      <c r="E186" s="28" t="s">
        <v>291</v>
      </c>
      <c r="F186" s="28" t="s">
        <v>48</v>
      </c>
      <c r="G186" s="30">
        <f t="shared" si="23"/>
        <v>208936</v>
      </c>
      <c r="H186" s="31">
        <f t="shared" si="23"/>
        <v>208936</v>
      </c>
      <c r="I186" s="31">
        <f>100</f>
        <v>100</v>
      </c>
    </row>
    <row r="187" spans="1:9" ht="26.25">
      <c r="A187" s="27" t="s">
        <v>292</v>
      </c>
      <c r="B187" s="28" t="s">
        <v>70</v>
      </c>
      <c r="C187" s="29" t="s">
        <v>144</v>
      </c>
      <c r="D187" s="29" t="s">
        <v>37</v>
      </c>
      <c r="E187" s="28" t="s">
        <v>293</v>
      </c>
      <c r="F187" s="28" t="s">
        <v>58</v>
      </c>
      <c r="G187" s="30">
        <f>430870.37</f>
        <v>430870.37</v>
      </c>
      <c r="H187" s="31">
        <f>344719.57</f>
        <v>344719.57</v>
      </c>
      <c r="I187" s="31">
        <f>80.01</f>
        <v>80.01</v>
      </c>
    </row>
    <row r="188" spans="1:9" ht="15">
      <c r="A188" s="27" t="s">
        <v>117</v>
      </c>
      <c r="B188" s="28" t="s">
        <v>70</v>
      </c>
      <c r="C188" s="29" t="s">
        <v>144</v>
      </c>
      <c r="D188" s="29" t="s">
        <v>37</v>
      </c>
      <c r="E188" s="28" t="s">
        <v>294</v>
      </c>
      <c r="F188" s="28" t="s">
        <v>58</v>
      </c>
      <c r="G188" s="30">
        <f>430870.37</f>
        <v>430870.37</v>
      </c>
      <c r="H188" s="31">
        <f>344719.57</f>
        <v>344719.57</v>
      </c>
      <c r="I188" s="31">
        <f>80.01</f>
        <v>80.01</v>
      </c>
    </row>
    <row r="189" spans="1:9" ht="26.25">
      <c r="A189" s="27" t="s">
        <v>10</v>
      </c>
      <c r="B189" s="28" t="s">
        <v>70</v>
      </c>
      <c r="C189" s="29" t="s">
        <v>144</v>
      </c>
      <c r="D189" s="29" t="s">
        <v>37</v>
      </c>
      <c r="E189" s="28" t="s">
        <v>294</v>
      </c>
      <c r="F189" s="28" t="s">
        <v>47</v>
      </c>
      <c r="G189" s="30">
        <f>430870.37</f>
        <v>430870.37</v>
      </c>
      <c r="H189" s="31">
        <f>344719.57</f>
        <v>344719.57</v>
      </c>
      <c r="I189" s="31">
        <f>80.01</f>
        <v>80.01</v>
      </c>
    </row>
    <row r="190" spans="1:9" ht="26.25">
      <c r="A190" s="27" t="s">
        <v>11</v>
      </c>
      <c r="B190" s="28" t="s">
        <v>70</v>
      </c>
      <c r="C190" s="29" t="s">
        <v>144</v>
      </c>
      <c r="D190" s="29" t="s">
        <v>37</v>
      </c>
      <c r="E190" s="28" t="s">
        <v>294</v>
      </c>
      <c r="F190" s="28" t="s">
        <v>48</v>
      </c>
      <c r="G190" s="30">
        <f>430870.37</f>
        <v>430870.37</v>
      </c>
      <c r="H190" s="31">
        <f>344719.57</f>
        <v>344719.57</v>
      </c>
      <c r="I190" s="31">
        <f>80.01</f>
        <v>80.01</v>
      </c>
    </row>
    <row r="191" spans="1:9" ht="26.25">
      <c r="A191" s="27" t="s">
        <v>295</v>
      </c>
      <c r="B191" s="28" t="s">
        <v>70</v>
      </c>
      <c r="C191" s="29" t="s">
        <v>144</v>
      </c>
      <c r="D191" s="29" t="s">
        <v>37</v>
      </c>
      <c r="E191" s="28" t="s">
        <v>296</v>
      </c>
      <c r="F191" s="28" t="s">
        <v>58</v>
      </c>
      <c r="G191" s="30">
        <f aca="true" t="shared" si="24" ref="G191:H194">135796</f>
        <v>135796</v>
      </c>
      <c r="H191" s="31">
        <f t="shared" si="24"/>
        <v>135796</v>
      </c>
      <c r="I191" s="31">
        <f aca="true" t="shared" si="25" ref="I191:I201">100</f>
        <v>100</v>
      </c>
    </row>
    <row r="192" spans="1:9" ht="15">
      <c r="A192" s="27" t="s">
        <v>117</v>
      </c>
      <c r="B192" s="28" t="s">
        <v>70</v>
      </c>
      <c r="C192" s="29" t="s">
        <v>144</v>
      </c>
      <c r="D192" s="29" t="s">
        <v>37</v>
      </c>
      <c r="E192" s="28" t="s">
        <v>297</v>
      </c>
      <c r="F192" s="28" t="s">
        <v>58</v>
      </c>
      <c r="G192" s="30">
        <f t="shared" si="24"/>
        <v>135796</v>
      </c>
      <c r="H192" s="31">
        <f t="shared" si="24"/>
        <v>135796</v>
      </c>
      <c r="I192" s="31">
        <f t="shared" si="25"/>
        <v>100</v>
      </c>
    </row>
    <row r="193" spans="1:9" ht="26.25">
      <c r="A193" s="27" t="s">
        <v>10</v>
      </c>
      <c r="B193" s="28" t="s">
        <v>70</v>
      </c>
      <c r="C193" s="29" t="s">
        <v>144</v>
      </c>
      <c r="D193" s="29" t="s">
        <v>37</v>
      </c>
      <c r="E193" s="28" t="s">
        <v>297</v>
      </c>
      <c r="F193" s="28" t="s">
        <v>47</v>
      </c>
      <c r="G193" s="30">
        <f t="shared" si="24"/>
        <v>135796</v>
      </c>
      <c r="H193" s="31">
        <f t="shared" si="24"/>
        <v>135796</v>
      </c>
      <c r="I193" s="31">
        <f t="shared" si="25"/>
        <v>100</v>
      </c>
    </row>
    <row r="194" spans="1:9" ht="26.25">
      <c r="A194" s="27" t="s">
        <v>11</v>
      </c>
      <c r="B194" s="28" t="s">
        <v>70</v>
      </c>
      <c r="C194" s="29" t="s">
        <v>144</v>
      </c>
      <c r="D194" s="29" t="s">
        <v>37</v>
      </c>
      <c r="E194" s="28" t="s">
        <v>297</v>
      </c>
      <c r="F194" s="28" t="s">
        <v>48</v>
      </c>
      <c r="G194" s="30">
        <f t="shared" si="24"/>
        <v>135796</v>
      </c>
      <c r="H194" s="31">
        <f t="shared" si="24"/>
        <v>135796</v>
      </c>
      <c r="I194" s="31">
        <f t="shared" si="25"/>
        <v>100</v>
      </c>
    </row>
    <row r="195" spans="1:9" ht="15">
      <c r="A195" s="27" t="s">
        <v>298</v>
      </c>
      <c r="B195" s="28" t="s">
        <v>70</v>
      </c>
      <c r="C195" s="29" t="s">
        <v>144</v>
      </c>
      <c r="D195" s="29" t="s">
        <v>38</v>
      </c>
      <c r="E195" s="28" t="s">
        <v>58</v>
      </c>
      <c r="F195" s="28" t="s">
        <v>58</v>
      </c>
      <c r="G195" s="30">
        <f aca="true" t="shared" si="26" ref="G195:H201">337381.72</f>
        <v>337381.72</v>
      </c>
      <c r="H195" s="31">
        <f t="shared" si="26"/>
        <v>337381.72</v>
      </c>
      <c r="I195" s="31">
        <f t="shared" si="25"/>
        <v>100</v>
      </c>
    </row>
    <row r="196" spans="1:9" ht="26.25">
      <c r="A196" s="27" t="s">
        <v>285</v>
      </c>
      <c r="B196" s="28" t="s">
        <v>70</v>
      </c>
      <c r="C196" s="29" t="s">
        <v>144</v>
      </c>
      <c r="D196" s="29" t="s">
        <v>38</v>
      </c>
      <c r="E196" s="28" t="s">
        <v>286</v>
      </c>
      <c r="F196" s="28" t="s">
        <v>58</v>
      </c>
      <c r="G196" s="30">
        <f t="shared" si="26"/>
        <v>337381.72</v>
      </c>
      <c r="H196" s="31">
        <f t="shared" si="26"/>
        <v>337381.72</v>
      </c>
      <c r="I196" s="31">
        <f t="shared" si="25"/>
        <v>100</v>
      </c>
    </row>
    <row r="197" spans="1:9" ht="26.25">
      <c r="A197" s="27" t="s">
        <v>299</v>
      </c>
      <c r="B197" s="28" t="s">
        <v>70</v>
      </c>
      <c r="C197" s="29" t="s">
        <v>144</v>
      </c>
      <c r="D197" s="29" t="s">
        <v>38</v>
      </c>
      <c r="E197" s="28" t="s">
        <v>300</v>
      </c>
      <c r="F197" s="28" t="s">
        <v>58</v>
      </c>
      <c r="G197" s="30">
        <f t="shared" si="26"/>
        <v>337381.72</v>
      </c>
      <c r="H197" s="31">
        <f t="shared" si="26"/>
        <v>337381.72</v>
      </c>
      <c r="I197" s="31">
        <f t="shared" si="25"/>
        <v>100</v>
      </c>
    </row>
    <row r="198" spans="1:9" ht="26.25">
      <c r="A198" s="27" t="s">
        <v>301</v>
      </c>
      <c r="B198" s="28" t="s">
        <v>70</v>
      </c>
      <c r="C198" s="29" t="s">
        <v>144</v>
      </c>
      <c r="D198" s="29" t="s">
        <v>38</v>
      </c>
      <c r="E198" s="28" t="s">
        <v>302</v>
      </c>
      <c r="F198" s="28" t="s">
        <v>58</v>
      </c>
      <c r="G198" s="30">
        <f t="shared" si="26"/>
        <v>337381.72</v>
      </c>
      <c r="H198" s="31">
        <f t="shared" si="26"/>
        <v>337381.72</v>
      </c>
      <c r="I198" s="31">
        <f t="shared" si="25"/>
        <v>100</v>
      </c>
    </row>
    <row r="199" spans="1:9" ht="15">
      <c r="A199" s="27" t="s">
        <v>303</v>
      </c>
      <c r="B199" s="28" t="s">
        <v>70</v>
      </c>
      <c r="C199" s="29" t="s">
        <v>144</v>
      </c>
      <c r="D199" s="29" t="s">
        <v>38</v>
      </c>
      <c r="E199" s="28" t="s">
        <v>304</v>
      </c>
      <c r="F199" s="28" t="s">
        <v>58</v>
      </c>
      <c r="G199" s="30">
        <f t="shared" si="26"/>
        <v>337381.72</v>
      </c>
      <c r="H199" s="31">
        <f t="shared" si="26"/>
        <v>337381.72</v>
      </c>
      <c r="I199" s="31">
        <f t="shared" si="25"/>
        <v>100</v>
      </c>
    </row>
    <row r="200" spans="1:9" ht="15">
      <c r="A200" s="27" t="s">
        <v>8</v>
      </c>
      <c r="B200" s="28" t="s">
        <v>70</v>
      </c>
      <c r="C200" s="29" t="s">
        <v>144</v>
      </c>
      <c r="D200" s="29" t="s">
        <v>38</v>
      </c>
      <c r="E200" s="28" t="s">
        <v>304</v>
      </c>
      <c r="F200" s="28" t="s">
        <v>45</v>
      </c>
      <c r="G200" s="30">
        <f t="shared" si="26"/>
        <v>337381.72</v>
      </c>
      <c r="H200" s="31">
        <f t="shared" si="26"/>
        <v>337381.72</v>
      </c>
      <c r="I200" s="31">
        <f t="shared" si="25"/>
        <v>100</v>
      </c>
    </row>
    <row r="201" spans="1:9" ht="15">
      <c r="A201" s="27" t="s">
        <v>2</v>
      </c>
      <c r="B201" s="28" t="s">
        <v>70</v>
      </c>
      <c r="C201" s="29" t="s">
        <v>144</v>
      </c>
      <c r="D201" s="29" t="s">
        <v>38</v>
      </c>
      <c r="E201" s="28" t="s">
        <v>304</v>
      </c>
      <c r="F201" s="28" t="s">
        <v>46</v>
      </c>
      <c r="G201" s="30">
        <f t="shared" si="26"/>
        <v>337381.72</v>
      </c>
      <c r="H201" s="31">
        <f t="shared" si="26"/>
        <v>337381.72</v>
      </c>
      <c r="I201" s="31">
        <f t="shared" si="25"/>
        <v>100</v>
      </c>
    </row>
    <row r="202" spans="1:9" ht="15">
      <c r="A202" s="27" t="s">
        <v>24</v>
      </c>
      <c r="B202" s="28" t="s">
        <v>70</v>
      </c>
      <c r="C202" s="29" t="s">
        <v>144</v>
      </c>
      <c r="D202" s="29" t="s">
        <v>140</v>
      </c>
      <c r="E202" s="28" t="s">
        <v>58</v>
      </c>
      <c r="F202" s="28" t="s">
        <v>58</v>
      </c>
      <c r="G202" s="30">
        <f>3752398.32</f>
        <v>3752398.32</v>
      </c>
      <c r="H202" s="31">
        <f>3751476.32</f>
        <v>3751476.32</v>
      </c>
      <c r="I202" s="31">
        <f>99.98</f>
        <v>99.98</v>
      </c>
    </row>
    <row r="203" spans="1:9" ht="26.25">
      <c r="A203" s="27" t="s">
        <v>285</v>
      </c>
      <c r="B203" s="28" t="s">
        <v>70</v>
      </c>
      <c r="C203" s="29" t="s">
        <v>144</v>
      </c>
      <c r="D203" s="29" t="s">
        <v>140</v>
      </c>
      <c r="E203" s="28" t="s">
        <v>286</v>
      </c>
      <c r="F203" s="28" t="s">
        <v>58</v>
      </c>
      <c r="G203" s="30">
        <f>3752398.32</f>
        <v>3752398.32</v>
      </c>
      <c r="H203" s="31">
        <f>3751476.32</f>
        <v>3751476.32</v>
      </c>
      <c r="I203" s="31">
        <f>99.98</f>
        <v>99.98</v>
      </c>
    </row>
    <row r="204" spans="1:9" ht="26.25">
      <c r="A204" s="27" t="s">
        <v>305</v>
      </c>
      <c r="B204" s="28" t="s">
        <v>70</v>
      </c>
      <c r="C204" s="29" t="s">
        <v>144</v>
      </c>
      <c r="D204" s="29" t="s">
        <v>140</v>
      </c>
      <c r="E204" s="28" t="s">
        <v>306</v>
      </c>
      <c r="F204" s="28" t="s">
        <v>58</v>
      </c>
      <c r="G204" s="30">
        <f>3752398.32</f>
        <v>3752398.32</v>
      </c>
      <c r="H204" s="31">
        <f>3751476.32</f>
        <v>3751476.32</v>
      </c>
      <c r="I204" s="31">
        <f>99.98</f>
        <v>99.98</v>
      </c>
    </row>
    <row r="205" spans="1:9" ht="15">
      <c r="A205" s="27" t="s">
        <v>307</v>
      </c>
      <c r="B205" s="28" t="s">
        <v>70</v>
      </c>
      <c r="C205" s="29" t="s">
        <v>144</v>
      </c>
      <c r="D205" s="29" t="s">
        <v>140</v>
      </c>
      <c r="E205" s="28" t="s">
        <v>308</v>
      </c>
      <c r="F205" s="28" t="s">
        <v>58</v>
      </c>
      <c r="G205" s="30">
        <f aca="true" t="shared" si="27" ref="G205:H208">216400</f>
        <v>216400</v>
      </c>
      <c r="H205" s="31">
        <f t="shared" si="27"/>
        <v>216400</v>
      </c>
      <c r="I205" s="31">
        <f aca="true" t="shared" si="28" ref="I205:I212">100</f>
        <v>100</v>
      </c>
    </row>
    <row r="206" spans="1:9" ht="26.25">
      <c r="A206" s="27" t="s">
        <v>118</v>
      </c>
      <c r="B206" s="28" t="s">
        <v>70</v>
      </c>
      <c r="C206" s="29" t="s">
        <v>144</v>
      </c>
      <c r="D206" s="29" t="s">
        <v>140</v>
      </c>
      <c r="E206" s="28" t="s">
        <v>309</v>
      </c>
      <c r="F206" s="28" t="s">
        <v>58</v>
      </c>
      <c r="G206" s="30">
        <f t="shared" si="27"/>
        <v>216400</v>
      </c>
      <c r="H206" s="31">
        <f t="shared" si="27"/>
        <v>216400</v>
      </c>
      <c r="I206" s="31">
        <f t="shared" si="28"/>
        <v>100</v>
      </c>
    </row>
    <row r="207" spans="1:9" ht="26.25">
      <c r="A207" s="27" t="s">
        <v>10</v>
      </c>
      <c r="B207" s="28" t="s">
        <v>70</v>
      </c>
      <c r="C207" s="29" t="s">
        <v>144</v>
      </c>
      <c r="D207" s="29" t="s">
        <v>140</v>
      </c>
      <c r="E207" s="28" t="s">
        <v>309</v>
      </c>
      <c r="F207" s="28" t="s">
        <v>47</v>
      </c>
      <c r="G207" s="30">
        <f t="shared" si="27"/>
        <v>216400</v>
      </c>
      <c r="H207" s="31">
        <f t="shared" si="27"/>
        <v>216400</v>
      </c>
      <c r="I207" s="31">
        <f t="shared" si="28"/>
        <v>100</v>
      </c>
    </row>
    <row r="208" spans="1:9" ht="26.25">
      <c r="A208" s="27" t="s">
        <v>11</v>
      </c>
      <c r="B208" s="28" t="s">
        <v>70</v>
      </c>
      <c r="C208" s="29" t="s">
        <v>144</v>
      </c>
      <c r="D208" s="29" t="s">
        <v>140</v>
      </c>
      <c r="E208" s="28" t="s">
        <v>309</v>
      </c>
      <c r="F208" s="28" t="s">
        <v>48</v>
      </c>
      <c r="G208" s="30">
        <f t="shared" si="27"/>
        <v>216400</v>
      </c>
      <c r="H208" s="31">
        <f t="shared" si="27"/>
        <v>216400</v>
      </c>
      <c r="I208" s="31">
        <f t="shared" si="28"/>
        <v>100</v>
      </c>
    </row>
    <row r="209" spans="1:9" ht="26.25">
      <c r="A209" s="27" t="s">
        <v>310</v>
      </c>
      <c r="B209" s="28" t="s">
        <v>70</v>
      </c>
      <c r="C209" s="29" t="s">
        <v>144</v>
      </c>
      <c r="D209" s="29" t="s">
        <v>140</v>
      </c>
      <c r="E209" s="28" t="s">
        <v>311</v>
      </c>
      <c r="F209" s="28" t="s">
        <v>58</v>
      </c>
      <c r="G209" s="30">
        <f aca="true" t="shared" si="29" ref="G209:H212">579885.12</f>
        <v>579885.12</v>
      </c>
      <c r="H209" s="31">
        <f t="shared" si="29"/>
        <v>579885.12</v>
      </c>
      <c r="I209" s="31">
        <f t="shared" si="28"/>
        <v>100</v>
      </c>
    </row>
    <row r="210" spans="1:9" ht="26.25">
      <c r="A210" s="27" t="s">
        <v>118</v>
      </c>
      <c r="B210" s="28" t="s">
        <v>70</v>
      </c>
      <c r="C210" s="29" t="s">
        <v>144</v>
      </c>
      <c r="D210" s="29" t="s">
        <v>140</v>
      </c>
      <c r="E210" s="28" t="s">
        <v>312</v>
      </c>
      <c r="F210" s="28" t="s">
        <v>58</v>
      </c>
      <c r="G210" s="30">
        <f t="shared" si="29"/>
        <v>579885.12</v>
      </c>
      <c r="H210" s="31">
        <f t="shared" si="29"/>
        <v>579885.12</v>
      </c>
      <c r="I210" s="31">
        <f t="shared" si="28"/>
        <v>100</v>
      </c>
    </row>
    <row r="211" spans="1:9" ht="26.25">
      <c r="A211" s="27" t="s">
        <v>10</v>
      </c>
      <c r="B211" s="28" t="s">
        <v>70</v>
      </c>
      <c r="C211" s="29" t="s">
        <v>144</v>
      </c>
      <c r="D211" s="29" t="s">
        <v>140</v>
      </c>
      <c r="E211" s="28" t="s">
        <v>312</v>
      </c>
      <c r="F211" s="28" t="s">
        <v>47</v>
      </c>
      <c r="G211" s="30">
        <f t="shared" si="29"/>
        <v>579885.12</v>
      </c>
      <c r="H211" s="31">
        <f t="shared" si="29"/>
        <v>579885.12</v>
      </c>
      <c r="I211" s="31">
        <f t="shared" si="28"/>
        <v>100</v>
      </c>
    </row>
    <row r="212" spans="1:9" ht="26.25">
      <c r="A212" s="27" t="s">
        <v>11</v>
      </c>
      <c r="B212" s="28" t="s">
        <v>70</v>
      </c>
      <c r="C212" s="29" t="s">
        <v>144</v>
      </c>
      <c r="D212" s="29" t="s">
        <v>140</v>
      </c>
      <c r="E212" s="28" t="s">
        <v>312</v>
      </c>
      <c r="F212" s="28" t="s">
        <v>48</v>
      </c>
      <c r="G212" s="30">
        <f t="shared" si="29"/>
        <v>579885.12</v>
      </c>
      <c r="H212" s="31">
        <f t="shared" si="29"/>
        <v>579885.12</v>
      </c>
      <c r="I212" s="31">
        <f t="shared" si="28"/>
        <v>100</v>
      </c>
    </row>
    <row r="213" spans="1:9" ht="26.25">
      <c r="A213" s="27" t="s">
        <v>313</v>
      </c>
      <c r="B213" s="28" t="s">
        <v>70</v>
      </c>
      <c r="C213" s="29" t="s">
        <v>144</v>
      </c>
      <c r="D213" s="29" t="s">
        <v>140</v>
      </c>
      <c r="E213" s="28" t="s">
        <v>314</v>
      </c>
      <c r="F213" s="28" t="s">
        <v>58</v>
      </c>
      <c r="G213" s="30">
        <f>50000</f>
        <v>50000</v>
      </c>
      <c r="H213" s="31">
        <f>49078</f>
        <v>49078</v>
      </c>
      <c r="I213" s="31">
        <f>98.16</f>
        <v>98.16</v>
      </c>
    </row>
    <row r="214" spans="1:9" ht="26.25">
      <c r="A214" s="27" t="s">
        <v>118</v>
      </c>
      <c r="B214" s="28" t="s">
        <v>70</v>
      </c>
      <c r="C214" s="29" t="s">
        <v>144</v>
      </c>
      <c r="D214" s="29" t="s">
        <v>140</v>
      </c>
      <c r="E214" s="28" t="s">
        <v>315</v>
      </c>
      <c r="F214" s="28" t="s">
        <v>58</v>
      </c>
      <c r="G214" s="30">
        <f>50000</f>
        <v>50000</v>
      </c>
      <c r="H214" s="31">
        <f>49078</f>
        <v>49078</v>
      </c>
      <c r="I214" s="31">
        <f>98.16</f>
        <v>98.16</v>
      </c>
    </row>
    <row r="215" spans="1:9" ht="26.25">
      <c r="A215" s="27" t="s">
        <v>10</v>
      </c>
      <c r="B215" s="28" t="s">
        <v>70</v>
      </c>
      <c r="C215" s="29" t="s">
        <v>144</v>
      </c>
      <c r="D215" s="29" t="s">
        <v>140</v>
      </c>
      <c r="E215" s="28" t="s">
        <v>315</v>
      </c>
      <c r="F215" s="28" t="s">
        <v>47</v>
      </c>
      <c r="G215" s="30">
        <f>50000</f>
        <v>50000</v>
      </c>
      <c r="H215" s="31">
        <f>49078</f>
        <v>49078</v>
      </c>
      <c r="I215" s="31">
        <f>98.16</f>
        <v>98.16</v>
      </c>
    </row>
    <row r="216" spans="1:9" ht="26.25">
      <c r="A216" s="27" t="s">
        <v>11</v>
      </c>
      <c r="B216" s="28" t="s">
        <v>70</v>
      </c>
      <c r="C216" s="29" t="s">
        <v>144</v>
      </c>
      <c r="D216" s="29" t="s">
        <v>140</v>
      </c>
      <c r="E216" s="28" t="s">
        <v>315</v>
      </c>
      <c r="F216" s="28" t="s">
        <v>48</v>
      </c>
      <c r="G216" s="30">
        <f>50000</f>
        <v>50000</v>
      </c>
      <c r="H216" s="31">
        <f>49078</f>
        <v>49078</v>
      </c>
      <c r="I216" s="31">
        <f>98.16</f>
        <v>98.16</v>
      </c>
    </row>
    <row r="217" spans="1:9" ht="26.25">
      <c r="A217" s="27" t="s">
        <v>316</v>
      </c>
      <c r="B217" s="28" t="s">
        <v>70</v>
      </c>
      <c r="C217" s="29" t="s">
        <v>144</v>
      </c>
      <c r="D217" s="29" t="s">
        <v>140</v>
      </c>
      <c r="E217" s="28" t="s">
        <v>317</v>
      </c>
      <c r="F217" s="28" t="s">
        <v>58</v>
      </c>
      <c r="G217" s="30">
        <f>2906113.2</f>
        <v>2906113.2</v>
      </c>
      <c r="H217" s="31">
        <f>2906113.2</f>
        <v>2906113.2</v>
      </c>
      <c r="I217" s="31">
        <f aca="true" t="shared" si="30" ref="I217:I238">100</f>
        <v>100</v>
      </c>
    </row>
    <row r="218" spans="1:9" ht="26.25">
      <c r="A218" s="27" t="s">
        <v>318</v>
      </c>
      <c r="B218" s="28" t="s">
        <v>70</v>
      </c>
      <c r="C218" s="29" t="s">
        <v>144</v>
      </c>
      <c r="D218" s="29" t="s">
        <v>140</v>
      </c>
      <c r="E218" s="28" t="s">
        <v>319</v>
      </c>
      <c r="F218" s="28" t="s">
        <v>58</v>
      </c>
      <c r="G218" s="30">
        <f aca="true" t="shared" si="31" ref="G218:H220">2615500</f>
        <v>2615500</v>
      </c>
      <c r="H218" s="31">
        <f t="shared" si="31"/>
        <v>2615500</v>
      </c>
      <c r="I218" s="31">
        <f t="shared" si="30"/>
        <v>100</v>
      </c>
    </row>
    <row r="219" spans="1:9" ht="15">
      <c r="A219" s="27" t="s">
        <v>8</v>
      </c>
      <c r="B219" s="28" t="s">
        <v>70</v>
      </c>
      <c r="C219" s="29" t="s">
        <v>144</v>
      </c>
      <c r="D219" s="29" t="s">
        <v>140</v>
      </c>
      <c r="E219" s="28" t="s">
        <v>319</v>
      </c>
      <c r="F219" s="28" t="s">
        <v>45</v>
      </c>
      <c r="G219" s="30">
        <f t="shared" si="31"/>
        <v>2615500</v>
      </c>
      <c r="H219" s="31">
        <f t="shared" si="31"/>
        <v>2615500</v>
      </c>
      <c r="I219" s="31">
        <f t="shared" si="30"/>
        <v>100</v>
      </c>
    </row>
    <row r="220" spans="1:9" ht="15">
      <c r="A220" s="27" t="s">
        <v>2</v>
      </c>
      <c r="B220" s="28" t="s">
        <v>70</v>
      </c>
      <c r="C220" s="29" t="s">
        <v>144</v>
      </c>
      <c r="D220" s="29" t="s">
        <v>140</v>
      </c>
      <c r="E220" s="28" t="s">
        <v>319</v>
      </c>
      <c r="F220" s="28" t="s">
        <v>46</v>
      </c>
      <c r="G220" s="30">
        <f t="shared" si="31"/>
        <v>2615500</v>
      </c>
      <c r="H220" s="31">
        <f t="shared" si="31"/>
        <v>2615500</v>
      </c>
      <c r="I220" s="31">
        <f t="shared" si="30"/>
        <v>100</v>
      </c>
    </row>
    <row r="221" spans="1:9" ht="26.25">
      <c r="A221" s="27" t="s">
        <v>320</v>
      </c>
      <c r="B221" s="28" t="s">
        <v>70</v>
      </c>
      <c r="C221" s="29" t="s">
        <v>144</v>
      </c>
      <c r="D221" s="29" t="s">
        <v>140</v>
      </c>
      <c r="E221" s="28" t="s">
        <v>321</v>
      </c>
      <c r="F221" s="28" t="s">
        <v>58</v>
      </c>
      <c r="G221" s="30">
        <f aca="true" t="shared" si="32" ref="G221:H223">290613.2</f>
        <v>290613.2</v>
      </c>
      <c r="H221" s="31">
        <f t="shared" si="32"/>
        <v>290613.2</v>
      </c>
      <c r="I221" s="31">
        <f t="shared" si="30"/>
        <v>100</v>
      </c>
    </row>
    <row r="222" spans="1:9" ht="15">
      <c r="A222" s="27" t="s">
        <v>8</v>
      </c>
      <c r="B222" s="28" t="s">
        <v>70</v>
      </c>
      <c r="C222" s="29" t="s">
        <v>144</v>
      </c>
      <c r="D222" s="29" t="s">
        <v>140</v>
      </c>
      <c r="E222" s="28" t="s">
        <v>321</v>
      </c>
      <c r="F222" s="28" t="s">
        <v>45</v>
      </c>
      <c r="G222" s="30">
        <f t="shared" si="32"/>
        <v>290613.2</v>
      </c>
      <c r="H222" s="31">
        <f t="shared" si="32"/>
        <v>290613.2</v>
      </c>
      <c r="I222" s="31">
        <f t="shared" si="30"/>
        <v>100</v>
      </c>
    </row>
    <row r="223" spans="1:9" ht="15">
      <c r="A223" s="27" t="s">
        <v>2</v>
      </c>
      <c r="B223" s="28" t="s">
        <v>70</v>
      </c>
      <c r="C223" s="29" t="s">
        <v>144</v>
      </c>
      <c r="D223" s="29" t="s">
        <v>140</v>
      </c>
      <c r="E223" s="28" t="s">
        <v>321</v>
      </c>
      <c r="F223" s="28" t="s">
        <v>46</v>
      </c>
      <c r="G223" s="30">
        <f t="shared" si="32"/>
        <v>290613.2</v>
      </c>
      <c r="H223" s="31">
        <f t="shared" si="32"/>
        <v>290613.2</v>
      </c>
      <c r="I223" s="31">
        <f t="shared" si="30"/>
        <v>100</v>
      </c>
    </row>
    <row r="224" spans="1:9" ht="26.25">
      <c r="A224" s="27" t="s">
        <v>25</v>
      </c>
      <c r="B224" s="28" t="s">
        <v>70</v>
      </c>
      <c r="C224" s="29" t="s">
        <v>144</v>
      </c>
      <c r="D224" s="29" t="s">
        <v>144</v>
      </c>
      <c r="E224" s="28" t="s">
        <v>58</v>
      </c>
      <c r="F224" s="28" t="s">
        <v>58</v>
      </c>
      <c r="G224" s="30">
        <f aca="true" t="shared" si="33" ref="G224:H230">400295</f>
        <v>400295</v>
      </c>
      <c r="H224" s="31">
        <f t="shared" si="33"/>
        <v>400295</v>
      </c>
      <c r="I224" s="31">
        <f t="shared" si="30"/>
        <v>100</v>
      </c>
    </row>
    <row r="225" spans="1:9" ht="39">
      <c r="A225" s="27" t="s">
        <v>199</v>
      </c>
      <c r="B225" s="28" t="s">
        <v>70</v>
      </c>
      <c r="C225" s="29" t="s">
        <v>144</v>
      </c>
      <c r="D225" s="29" t="s">
        <v>144</v>
      </c>
      <c r="E225" s="28" t="s">
        <v>200</v>
      </c>
      <c r="F225" s="28" t="s">
        <v>58</v>
      </c>
      <c r="G225" s="30">
        <f t="shared" si="33"/>
        <v>400295</v>
      </c>
      <c r="H225" s="31">
        <f t="shared" si="33"/>
        <v>400295</v>
      </c>
      <c r="I225" s="31">
        <f t="shared" si="30"/>
        <v>100</v>
      </c>
    </row>
    <row r="226" spans="1:9" ht="66">
      <c r="A226" s="27" t="s">
        <v>201</v>
      </c>
      <c r="B226" s="28" t="s">
        <v>70</v>
      </c>
      <c r="C226" s="29" t="s">
        <v>144</v>
      </c>
      <c r="D226" s="29" t="s">
        <v>144</v>
      </c>
      <c r="E226" s="28" t="s">
        <v>202</v>
      </c>
      <c r="F226" s="28" t="s">
        <v>58</v>
      </c>
      <c r="G226" s="30">
        <f t="shared" si="33"/>
        <v>400295</v>
      </c>
      <c r="H226" s="31">
        <f t="shared" si="33"/>
        <v>400295</v>
      </c>
      <c r="I226" s="31">
        <f t="shared" si="30"/>
        <v>100</v>
      </c>
    </row>
    <row r="227" spans="1:9" ht="78.75">
      <c r="A227" s="27" t="s">
        <v>203</v>
      </c>
      <c r="B227" s="28" t="s">
        <v>70</v>
      </c>
      <c r="C227" s="29" t="s">
        <v>144</v>
      </c>
      <c r="D227" s="29" t="s">
        <v>144</v>
      </c>
      <c r="E227" s="28" t="s">
        <v>204</v>
      </c>
      <c r="F227" s="28" t="s">
        <v>58</v>
      </c>
      <c r="G227" s="30">
        <f t="shared" si="33"/>
        <v>400295</v>
      </c>
      <c r="H227" s="31">
        <f t="shared" si="33"/>
        <v>400295</v>
      </c>
      <c r="I227" s="31">
        <f t="shared" si="30"/>
        <v>100</v>
      </c>
    </row>
    <row r="228" spans="1:9" ht="26.25">
      <c r="A228" s="27" t="s">
        <v>74</v>
      </c>
      <c r="B228" s="28" t="s">
        <v>70</v>
      </c>
      <c r="C228" s="29" t="s">
        <v>144</v>
      </c>
      <c r="D228" s="29" t="s">
        <v>144</v>
      </c>
      <c r="E228" s="28" t="s">
        <v>207</v>
      </c>
      <c r="F228" s="28" t="s">
        <v>58</v>
      </c>
      <c r="G228" s="30">
        <f t="shared" si="33"/>
        <v>400295</v>
      </c>
      <c r="H228" s="31">
        <f t="shared" si="33"/>
        <v>400295</v>
      </c>
      <c r="I228" s="31">
        <f t="shared" si="30"/>
        <v>100</v>
      </c>
    </row>
    <row r="229" spans="1:9" ht="15">
      <c r="A229" s="27" t="s">
        <v>8</v>
      </c>
      <c r="B229" s="28" t="s">
        <v>70</v>
      </c>
      <c r="C229" s="29" t="s">
        <v>144</v>
      </c>
      <c r="D229" s="29" t="s">
        <v>144</v>
      </c>
      <c r="E229" s="28" t="s">
        <v>207</v>
      </c>
      <c r="F229" s="28" t="s">
        <v>45</v>
      </c>
      <c r="G229" s="30">
        <f t="shared" si="33"/>
        <v>400295</v>
      </c>
      <c r="H229" s="31">
        <f t="shared" si="33"/>
        <v>400295</v>
      </c>
      <c r="I229" s="31">
        <f t="shared" si="30"/>
        <v>100</v>
      </c>
    </row>
    <row r="230" spans="1:9" ht="15">
      <c r="A230" s="27" t="s">
        <v>2</v>
      </c>
      <c r="B230" s="28" t="s">
        <v>70</v>
      </c>
      <c r="C230" s="29" t="s">
        <v>144</v>
      </c>
      <c r="D230" s="29" t="s">
        <v>144</v>
      </c>
      <c r="E230" s="28" t="s">
        <v>207</v>
      </c>
      <c r="F230" s="28" t="s">
        <v>46</v>
      </c>
      <c r="G230" s="30">
        <f t="shared" si="33"/>
        <v>400295</v>
      </c>
      <c r="H230" s="31">
        <f t="shared" si="33"/>
        <v>400295</v>
      </c>
      <c r="I230" s="31">
        <f t="shared" si="30"/>
        <v>100</v>
      </c>
    </row>
    <row r="231" spans="1:9" ht="15">
      <c r="A231" s="27" t="s">
        <v>26</v>
      </c>
      <c r="B231" s="28" t="s">
        <v>70</v>
      </c>
      <c r="C231" s="29" t="s">
        <v>146</v>
      </c>
      <c r="D231" s="29" t="s">
        <v>138</v>
      </c>
      <c r="E231" s="28" t="s">
        <v>58</v>
      </c>
      <c r="F231" s="28" t="s">
        <v>58</v>
      </c>
      <c r="G231" s="30">
        <f aca="true" t="shared" si="34" ref="G231:G238">644010.65</f>
        <v>644010.65</v>
      </c>
      <c r="H231" s="31">
        <f aca="true" t="shared" si="35" ref="H231:H238">644009.51</f>
        <v>644009.51</v>
      </c>
      <c r="I231" s="31">
        <f t="shared" si="30"/>
        <v>100</v>
      </c>
    </row>
    <row r="232" spans="1:9" ht="15">
      <c r="A232" s="27" t="s">
        <v>27</v>
      </c>
      <c r="B232" s="28" t="s">
        <v>70</v>
      </c>
      <c r="C232" s="29" t="s">
        <v>146</v>
      </c>
      <c r="D232" s="29" t="s">
        <v>146</v>
      </c>
      <c r="E232" s="28" t="s">
        <v>58</v>
      </c>
      <c r="F232" s="28" t="s">
        <v>58</v>
      </c>
      <c r="G232" s="30">
        <f t="shared" si="34"/>
        <v>644010.65</v>
      </c>
      <c r="H232" s="31">
        <f t="shared" si="35"/>
        <v>644009.51</v>
      </c>
      <c r="I232" s="31">
        <f t="shared" si="30"/>
        <v>100</v>
      </c>
    </row>
    <row r="233" spans="1:9" ht="26.25">
      <c r="A233" s="27" t="s">
        <v>322</v>
      </c>
      <c r="B233" s="28" t="s">
        <v>70</v>
      </c>
      <c r="C233" s="29" t="s">
        <v>146</v>
      </c>
      <c r="D233" s="29" t="s">
        <v>146</v>
      </c>
      <c r="E233" s="28" t="s">
        <v>323</v>
      </c>
      <c r="F233" s="28" t="s">
        <v>58</v>
      </c>
      <c r="G233" s="30">
        <f t="shared" si="34"/>
        <v>644010.65</v>
      </c>
      <c r="H233" s="31">
        <f t="shared" si="35"/>
        <v>644009.51</v>
      </c>
      <c r="I233" s="31">
        <f t="shared" si="30"/>
        <v>100</v>
      </c>
    </row>
    <row r="234" spans="1:9" ht="15">
      <c r="A234" s="27" t="s">
        <v>324</v>
      </c>
      <c r="B234" s="28" t="s">
        <v>70</v>
      </c>
      <c r="C234" s="29" t="s">
        <v>146</v>
      </c>
      <c r="D234" s="29" t="s">
        <v>146</v>
      </c>
      <c r="E234" s="28" t="s">
        <v>325</v>
      </c>
      <c r="F234" s="28" t="s">
        <v>58</v>
      </c>
      <c r="G234" s="30">
        <f t="shared" si="34"/>
        <v>644010.65</v>
      </c>
      <c r="H234" s="31">
        <f t="shared" si="35"/>
        <v>644009.51</v>
      </c>
      <c r="I234" s="31">
        <f t="shared" si="30"/>
        <v>100</v>
      </c>
    </row>
    <row r="235" spans="1:9" ht="26.25">
      <c r="A235" s="27" t="s">
        <v>326</v>
      </c>
      <c r="B235" s="28" t="s">
        <v>70</v>
      </c>
      <c r="C235" s="29" t="s">
        <v>146</v>
      </c>
      <c r="D235" s="29" t="s">
        <v>146</v>
      </c>
      <c r="E235" s="28" t="s">
        <v>327</v>
      </c>
      <c r="F235" s="28" t="s">
        <v>58</v>
      </c>
      <c r="G235" s="30">
        <f t="shared" si="34"/>
        <v>644010.65</v>
      </c>
      <c r="H235" s="31">
        <f t="shared" si="35"/>
        <v>644009.51</v>
      </c>
      <c r="I235" s="31">
        <f t="shared" si="30"/>
        <v>100</v>
      </c>
    </row>
    <row r="236" spans="1:9" ht="26.25">
      <c r="A236" s="27" t="s">
        <v>118</v>
      </c>
      <c r="B236" s="28" t="s">
        <v>70</v>
      </c>
      <c r="C236" s="29" t="s">
        <v>146</v>
      </c>
      <c r="D236" s="29" t="s">
        <v>146</v>
      </c>
      <c r="E236" s="28" t="s">
        <v>328</v>
      </c>
      <c r="F236" s="28" t="s">
        <v>58</v>
      </c>
      <c r="G236" s="30">
        <f t="shared" si="34"/>
        <v>644010.65</v>
      </c>
      <c r="H236" s="31">
        <f t="shared" si="35"/>
        <v>644009.51</v>
      </c>
      <c r="I236" s="31">
        <f t="shared" si="30"/>
        <v>100</v>
      </c>
    </row>
    <row r="237" spans="1:9" ht="66">
      <c r="A237" s="27" t="s">
        <v>5</v>
      </c>
      <c r="B237" s="28" t="s">
        <v>70</v>
      </c>
      <c r="C237" s="29" t="s">
        <v>146</v>
      </c>
      <c r="D237" s="29" t="s">
        <v>146</v>
      </c>
      <c r="E237" s="28" t="s">
        <v>328</v>
      </c>
      <c r="F237" s="28" t="s">
        <v>43</v>
      </c>
      <c r="G237" s="30">
        <f t="shared" si="34"/>
        <v>644010.65</v>
      </c>
      <c r="H237" s="31">
        <f t="shared" si="35"/>
        <v>644009.51</v>
      </c>
      <c r="I237" s="31">
        <f t="shared" si="30"/>
        <v>100</v>
      </c>
    </row>
    <row r="238" spans="1:9" ht="15">
      <c r="A238" s="27" t="s">
        <v>57</v>
      </c>
      <c r="B238" s="28" t="s">
        <v>70</v>
      </c>
      <c r="C238" s="29" t="s">
        <v>146</v>
      </c>
      <c r="D238" s="29" t="s">
        <v>146</v>
      </c>
      <c r="E238" s="28" t="s">
        <v>328</v>
      </c>
      <c r="F238" s="28" t="s">
        <v>51</v>
      </c>
      <c r="G238" s="30">
        <f t="shared" si="34"/>
        <v>644010.65</v>
      </c>
      <c r="H238" s="31">
        <f t="shared" si="35"/>
        <v>644009.51</v>
      </c>
      <c r="I238" s="31">
        <f t="shared" si="30"/>
        <v>100</v>
      </c>
    </row>
    <row r="239" spans="1:9" ht="15">
      <c r="A239" s="27" t="s">
        <v>28</v>
      </c>
      <c r="B239" s="28" t="s">
        <v>70</v>
      </c>
      <c r="C239" s="29" t="s">
        <v>148</v>
      </c>
      <c r="D239" s="29" t="s">
        <v>138</v>
      </c>
      <c r="E239" s="28" t="s">
        <v>58</v>
      </c>
      <c r="F239" s="28" t="s">
        <v>58</v>
      </c>
      <c r="G239" s="30">
        <f>14573867.66</f>
        <v>14573867.66</v>
      </c>
      <c r="H239" s="31">
        <f>13979834.2</f>
        <v>13979834.2</v>
      </c>
      <c r="I239" s="31">
        <f>95.92</f>
        <v>95.92</v>
      </c>
    </row>
    <row r="240" spans="1:9" ht="15">
      <c r="A240" s="27" t="s">
        <v>29</v>
      </c>
      <c r="B240" s="28" t="s">
        <v>70</v>
      </c>
      <c r="C240" s="29" t="s">
        <v>148</v>
      </c>
      <c r="D240" s="29" t="s">
        <v>37</v>
      </c>
      <c r="E240" s="28" t="s">
        <v>58</v>
      </c>
      <c r="F240" s="28" t="s">
        <v>58</v>
      </c>
      <c r="G240" s="30">
        <f>14573867.66</f>
        <v>14573867.66</v>
      </c>
      <c r="H240" s="31">
        <f>13979834.2</f>
        <v>13979834.2</v>
      </c>
      <c r="I240" s="31">
        <f>95.92</f>
        <v>95.92</v>
      </c>
    </row>
    <row r="241" spans="1:9" ht="26.25">
      <c r="A241" s="27" t="s">
        <v>322</v>
      </c>
      <c r="B241" s="28" t="s">
        <v>70</v>
      </c>
      <c r="C241" s="29" t="s">
        <v>148</v>
      </c>
      <c r="D241" s="29" t="s">
        <v>37</v>
      </c>
      <c r="E241" s="28" t="s">
        <v>323</v>
      </c>
      <c r="F241" s="28" t="s">
        <v>58</v>
      </c>
      <c r="G241" s="30">
        <f>14573867.66</f>
        <v>14573867.66</v>
      </c>
      <c r="H241" s="31">
        <f>13979834.2</f>
        <v>13979834.2</v>
      </c>
      <c r="I241" s="31">
        <f>95.92</f>
        <v>95.92</v>
      </c>
    </row>
    <row r="242" spans="1:9" ht="15">
      <c r="A242" s="27" t="s">
        <v>329</v>
      </c>
      <c r="B242" s="28" t="s">
        <v>70</v>
      </c>
      <c r="C242" s="29" t="s">
        <v>148</v>
      </c>
      <c r="D242" s="29" t="s">
        <v>37</v>
      </c>
      <c r="E242" s="28" t="s">
        <v>330</v>
      </c>
      <c r="F242" s="28" t="s">
        <v>58</v>
      </c>
      <c r="G242" s="30">
        <f>14573867.66</f>
        <v>14573867.66</v>
      </c>
      <c r="H242" s="31">
        <f>13979834.2</f>
        <v>13979834.2</v>
      </c>
      <c r="I242" s="31">
        <f>95.92</f>
        <v>95.92</v>
      </c>
    </row>
    <row r="243" spans="1:9" ht="39">
      <c r="A243" s="27" t="s">
        <v>331</v>
      </c>
      <c r="B243" s="28" t="s">
        <v>70</v>
      </c>
      <c r="C243" s="29" t="s">
        <v>148</v>
      </c>
      <c r="D243" s="29" t="s">
        <v>37</v>
      </c>
      <c r="E243" s="28" t="s">
        <v>332</v>
      </c>
      <c r="F243" s="28" t="s">
        <v>58</v>
      </c>
      <c r="G243" s="30">
        <f>14178889.33</f>
        <v>14178889.33</v>
      </c>
      <c r="H243" s="31">
        <f>13585974.08</f>
        <v>13585974.08</v>
      </c>
      <c r="I243" s="31">
        <f>95.82</f>
        <v>95.82</v>
      </c>
    </row>
    <row r="244" spans="1:9" ht="26.25">
      <c r="A244" s="27" t="s">
        <v>118</v>
      </c>
      <c r="B244" s="28" t="s">
        <v>70</v>
      </c>
      <c r="C244" s="29" t="s">
        <v>148</v>
      </c>
      <c r="D244" s="29" t="s">
        <v>37</v>
      </c>
      <c r="E244" s="28" t="s">
        <v>333</v>
      </c>
      <c r="F244" s="28" t="s">
        <v>58</v>
      </c>
      <c r="G244" s="30">
        <f>11251131.94</f>
        <v>11251131.94</v>
      </c>
      <c r="H244" s="31">
        <f>10658216.69</f>
        <v>10658216.69</v>
      </c>
      <c r="I244" s="31">
        <f>94.73</f>
        <v>94.73</v>
      </c>
    </row>
    <row r="245" spans="1:9" ht="66">
      <c r="A245" s="27" t="s">
        <v>5</v>
      </c>
      <c r="B245" s="28" t="s">
        <v>70</v>
      </c>
      <c r="C245" s="29" t="s">
        <v>148</v>
      </c>
      <c r="D245" s="29" t="s">
        <v>37</v>
      </c>
      <c r="E245" s="28" t="s">
        <v>333</v>
      </c>
      <c r="F245" s="28" t="s">
        <v>43</v>
      </c>
      <c r="G245" s="30">
        <f>8286000.58</f>
        <v>8286000.58</v>
      </c>
      <c r="H245" s="31">
        <f>8286000.58</f>
        <v>8286000.58</v>
      </c>
      <c r="I245" s="31">
        <f>100</f>
        <v>100</v>
      </c>
    </row>
    <row r="246" spans="1:9" ht="15">
      <c r="A246" s="27" t="s">
        <v>57</v>
      </c>
      <c r="B246" s="28" t="s">
        <v>70</v>
      </c>
      <c r="C246" s="29" t="s">
        <v>148</v>
      </c>
      <c r="D246" s="29" t="s">
        <v>37</v>
      </c>
      <c r="E246" s="28" t="s">
        <v>333</v>
      </c>
      <c r="F246" s="28" t="s">
        <v>51</v>
      </c>
      <c r="G246" s="30">
        <f>8286000.58</f>
        <v>8286000.58</v>
      </c>
      <c r="H246" s="31">
        <f>8286000.58</f>
        <v>8286000.58</v>
      </c>
      <c r="I246" s="31">
        <f>100</f>
        <v>100</v>
      </c>
    </row>
    <row r="247" spans="1:9" ht="26.25">
      <c r="A247" s="27" t="s">
        <v>10</v>
      </c>
      <c r="B247" s="28" t="s">
        <v>70</v>
      </c>
      <c r="C247" s="29" t="s">
        <v>148</v>
      </c>
      <c r="D247" s="29" t="s">
        <v>37</v>
      </c>
      <c r="E247" s="28" t="s">
        <v>333</v>
      </c>
      <c r="F247" s="28" t="s">
        <v>47</v>
      </c>
      <c r="G247" s="30">
        <f>2965131.36</f>
        <v>2965131.36</v>
      </c>
      <c r="H247" s="31">
        <f>2372216.11</f>
        <v>2372216.11</v>
      </c>
      <c r="I247" s="31">
        <f>80</f>
        <v>80</v>
      </c>
    </row>
    <row r="248" spans="1:9" ht="26.25">
      <c r="A248" s="27" t="s">
        <v>11</v>
      </c>
      <c r="B248" s="28" t="s">
        <v>70</v>
      </c>
      <c r="C248" s="29" t="s">
        <v>148</v>
      </c>
      <c r="D248" s="29" t="s">
        <v>37</v>
      </c>
      <c r="E248" s="28" t="s">
        <v>333</v>
      </c>
      <c r="F248" s="28" t="s">
        <v>48</v>
      </c>
      <c r="G248" s="30">
        <f>2965131.36</f>
        <v>2965131.36</v>
      </c>
      <c r="H248" s="31">
        <f>2372216.11</f>
        <v>2372216.11</v>
      </c>
      <c r="I248" s="31">
        <f>80</f>
        <v>80</v>
      </c>
    </row>
    <row r="249" spans="1:9" s="6" customFormat="1" ht="39">
      <c r="A249" s="27" t="s">
        <v>124</v>
      </c>
      <c r="B249" s="28" t="s">
        <v>70</v>
      </c>
      <c r="C249" s="29" t="s">
        <v>148</v>
      </c>
      <c r="D249" s="29" t="s">
        <v>37</v>
      </c>
      <c r="E249" s="28" t="s">
        <v>334</v>
      </c>
      <c r="F249" s="28" t="s">
        <v>58</v>
      </c>
      <c r="G249" s="30">
        <f aca="true" t="shared" si="36" ref="G249:H251">2927757.39</f>
        <v>2927757.39</v>
      </c>
      <c r="H249" s="31">
        <f t="shared" si="36"/>
        <v>2927757.39</v>
      </c>
      <c r="I249" s="31">
        <f>100</f>
        <v>100</v>
      </c>
    </row>
    <row r="250" spans="1:9" ht="66">
      <c r="A250" s="27" t="s">
        <v>5</v>
      </c>
      <c r="B250" s="28" t="s">
        <v>70</v>
      </c>
      <c r="C250" s="29" t="s">
        <v>148</v>
      </c>
      <c r="D250" s="29" t="s">
        <v>37</v>
      </c>
      <c r="E250" s="28" t="s">
        <v>334</v>
      </c>
      <c r="F250" s="28" t="s">
        <v>43</v>
      </c>
      <c r="G250" s="30">
        <f t="shared" si="36"/>
        <v>2927757.39</v>
      </c>
      <c r="H250" s="31">
        <f t="shared" si="36"/>
        <v>2927757.39</v>
      </c>
      <c r="I250" s="31">
        <f>100</f>
        <v>100</v>
      </c>
    </row>
    <row r="251" spans="1:9" ht="15">
      <c r="A251" s="27" t="s">
        <v>57</v>
      </c>
      <c r="B251" s="28" t="s">
        <v>70</v>
      </c>
      <c r="C251" s="29" t="s">
        <v>148</v>
      </c>
      <c r="D251" s="29" t="s">
        <v>37</v>
      </c>
      <c r="E251" s="28" t="s">
        <v>334</v>
      </c>
      <c r="F251" s="28" t="s">
        <v>51</v>
      </c>
      <c r="G251" s="30">
        <f t="shared" si="36"/>
        <v>2927757.39</v>
      </c>
      <c r="H251" s="31">
        <f t="shared" si="36"/>
        <v>2927757.39</v>
      </c>
      <c r="I251" s="31">
        <f>100</f>
        <v>100</v>
      </c>
    </row>
    <row r="252" spans="1:9" ht="26.25">
      <c r="A252" s="27" t="s">
        <v>335</v>
      </c>
      <c r="B252" s="28" t="s">
        <v>70</v>
      </c>
      <c r="C252" s="29" t="s">
        <v>148</v>
      </c>
      <c r="D252" s="29" t="s">
        <v>37</v>
      </c>
      <c r="E252" s="28" t="s">
        <v>336</v>
      </c>
      <c r="F252" s="28" t="s">
        <v>58</v>
      </c>
      <c r="G252" s="30">
        <f>394978.33</f>
        <v>394978.33</v>
      </c>
      <c r="H252" s="31">
        <f>393860.12</f>
        <v>393860.12</v>
      </c>
      <c r="I252" s="31">
        <f>99.72</f>
        <v>99.72</v>
      </c>
    </row>
    <row r="253" spans="1:9" ht="26.25">
      <c r="A253" s="27" t="s">
        <v>118</v>
      </c>
      <c r="B253" s="28" t="s">
        <v>70</v>
      </c>
      <c r="C253" s="29" t="s">
        <v>148</v>
      </c>
      <c r="D253" s="29" t="s">
        <v>37</v>
      </c>
      <c r="E253" s="28" t="s">
        <v>337</v>
      </c>
      <c r="F253" s="28" t="s">
        <v>58</v>
      </c>
      <c r="G253" s="30">
        <f>325978.33</f>
        <v>325978.33</v>
      </c>
      <c r="H253" s="31">
        <f>324860.12</f>
        <v>324860.12</v>
      </c>
      <c r="I253" s="31">
        <f>99.66</f>
        <v>99.66</v>
      </c>
    </row>
    <row r="254" spans="1:9" ht="26.25">
      <c r="A254" s="27" t="s">
        <v>10</v>
      </c>
      <c r="B254" s="28" t="s">
        <v>70</v>
      </c>
      <c r="C254" s="29" t="s">
        <v>148</v>
      </c>
      <c r="D254" s="29" t="s">
        <v>37</v>
      </c>
      <c r="E254" s="28" t="s">
        <v>337</v>
      </c>
      <c r="F254" s="28" t="s">
        <v>47</v>
      </c>
      <c r="G254" s="30">
        <f>325978.33</f>
        <v>325978.33</v>
      </c>
      <c r="H254" s="31">
        <f>324860.12</f>
        <v>324860.12</v>
      </c>
      <c r="I254" s="31">
        <f>99.66</f>
        <v>99.66</v>
      </c>
    </row>
    <row r="255" spans="1:9" ht="26.25">
      <c r="A255" s="27" t="s">
        <v>11</v>
      </c>
      <c r="B255" s="28" t="s">
        <v>70</v>
      </c>
      <c r="C255" s="29" t="s">
        <v>148</v>
      </c>
      <c r="D255" s="29" t="s">
        <v>37</v>
      </c>
      <c r="E255" s="28" t="s">
        <v>337</v>
      </c>
      <c r="F255" s="28" t="s">
        <v>48</v>
      </c>
      <c r="G255" s="30">
        <f>325978.33</f>
        <v>325978.33</v>
      </c>
      <c r="H255" s="31">
        <f>324860.12</f>
        <v>324860.12</v>
      </c>
      <c r="I255" s="31">
        <f>99.66</f>
        <v>99.66</v>
      </c>
    </row>
    <row r="256" spans="1:9" ht="26.25">
      <c r="A256" s="27" t="s">
        <v>338</v>
      </c>
      <c r="B256" s="28" t="s">
        <v>70</v>
      </c>
      <c r="C256" s="29" t="s">
        <v>148</v>
      </c>
      <c r="D256" s="29" t="s">
        <v>37</v>
      </c>
      <c r="E256" s="28" t="s">
        <v>339</v>
      </c>
      <c r="F256" s="28" t="s">
        <v>58</v>
      </c>
      <c r="G256" s="30">
        <f aca="true" t="shared" si="37" ref="G256:H258">69000</f>
        <v>69000</v>
      </c>
      <c r="H256" s="31">
        <f t="shared" si="37"/>
        <v>69000</v>
      </c>
      <c r="I256" s="31">
        <f aca="true" t="shared" si="38" ref="I256:I266">100</f>
        <v>100</v>
      </c>
    </row>
    <row r="257" spans="1:9" ht="26.25">
      <c r="A257" s="27" t="s">
        <v>10</v>
      </c>
      <c r="B257" s="28" t="s">
        <v>70</v>
      </c>
      <c r="C257" s="29" t="s">
        <v>148</v>
      </c>
      <c r="D257" s="29" t="s">
        <v>37</v>
      </c>
      <c r="E257" s="28" t="s">
        <v>339</v>
      </c>
      <c r="F257" s="28" t="s">
        <v>47</v>
      </c>
      <c r="G257" s="30">
        <f t="shared" si="37"/>
        <v>69000</v>
      </c>
      <c r="H257" s="31">
        <f t="shared" si="37"/>
        <v>69000</v>
      </c>
      <c r="I257" s="31">
        <f t="shared" si="38"/>
        <v>100</v>
      </c>
    </row>
    <row r="258" spans="1:9" ht="26.25">
      <c r="A258" s="27" t="s">
        <v>11</v>
      </c>
      <c r="B258" s="28" t="s">
        <v>70</v>
      </c>
      <c r="C258" s="29" t="s">
        <v>148</v>
      </c>
      <c r="D258" s="29" t="s">
        <v>37</v>
      </c>
      <c r="E258" s="28" t="s">
        <v>339</v>
      </c>
      <c r="F258" s="28" t="s">
        <v>48</v>
      </c>
      <c r="G258" s="30">
        <f t="shared" si="37"/>
        <v>69000</v>
      </c>
      <c r="H258" s="31">
        <f t="shared" si="37"/>
        <v>69000</v>
      </c>
      <c r="I258" s="31">
        <f t="shared" si="38"/>
        <v>100</v>
      </c>
    </row>
    <row r="259" spans="1:9" ht="15">
      <c r="A259" s="27" t="s">
        <v>30</v>
      </c>
      <c r="B259" s="28" t="s">
        <v>70</v>
      </c>
      <c r="C259" s="29" t="s">
        <v>142</v>
      </c>
      <c r="D259" s="29" t="s">
        <v>138</v>
      </c>
      <c r="E259" s="28" t="s">
        <v>58</v>
      </c>
      <c r="F259" s="28" t="s">
        <v>58</v>
      </c>
      <c r="G259" s="30">
        <f aca="true" t="shared" si="39" ref="G259:H266">579876</f>
        <v>579876</v>
      </c>
      <c r="H259" s="31">
        <f t="shared" si="39"/>
        <v>579876</v>
      </c>
      <c r="I259" s="31">
        <f t="shared" si="38"/>
        <v>100</v>
      </c>
    </row>
    <row r="260" spans="1:9" ht="15">
      <c r="A260" s="27" t="s">
        <v>31</v>
      </c>
      <c r="B260" s="28" t="s">
        <v>70</v>
      </c>
      <c r="C260" s="29" t="s">
        <v>142</v>
      </c>
      <c r="D260" s="29" t="s">
        <v>37</v>
      </c>
      <c r="E260" s="28" t="s">
        <v>58</v>
      </c>
      <c r="F260" s="28" t="s">
        <v>58</v>
      </c>
      <c r="G260" s="30">
        <f t="shared" si="39"/>
        <v>579876</v>
      </c>
      <c r="H260" s="31">
        <f t="shared" si="39"/>
        <v>579876</v>
      </c>
      <c r="I260" s="31">
        <f t="shared" si="38"/>
        <v>100</v>
      </c>
    </row>
    <row r="261" spans="1:9" ht="39">
      <c r="A261" s="27" t="s">
        <v>199</v>
      </c>
      <c r="B261" s="28" t="s">
        <v>70</v>
      </c>
      <c r="C261" s="29" t="s">
        <v>142</v>
      </c>
      <c r="D261" s="29" t="s">
        <v>37</v>
      </c>
      <c r="E261" s="28" t="s">
        <v>200</v>
      </c>
      <c r="F261" s="28" t="s">
        <v>58</v>
      </c>
      <c r="G261" s="30">
        <f t="shared" si="39"/>
        <v>579876</v>
      </c>
      <c r="H261" s="31">
        <f t="shared" si="39"/>
        <v>579876</v>
      </c>
      <c r="I261" s="31">
        <f t="shared" si="38"/>
        <v>100</v>
      </c>
    </row>
    <row r="262" spans="1:9" ht="26.25">
      <c r="A262" s="27" t="s">
        <v>125</v>
      </c>
      <c r="B262" s="28" t="s">
        <v>70</v>
      </c>
      <c r="C262" s="29" t="s">
        <v>142</v>
      </c>
      <c r="D262" s="29" t="s">
        <v>37</v>
      </c>
      <c r="E262" s="28" t="s">
        <v>340</v>
      </c>
      <c r="F262" s="28" t="s">
        <v>58</v>
      </c>
      <c r="G262" s="30">
        <f t="shared" si="39"/>
        <v>579876</v>
      </c>
      <c r="H262" s="31">
        <f t="shared" si="39"/>
        <v>579876</v>
      </c>
      <c r="I262" s="31">
        <f t="shared" si="38"/>
        <v>100</v>
      </c>
    </row>
    <row r="263" spans="1:9" ht="26.25">
      <c r="A263" s="27" t="s">
        <v>341</v>
      </c>
      <c r="B263" s="28" t="s">
        <v>70</v>
      </c>
      <c r="C263" s="29" t="s">
        <v>142</v>
      </c>
      <c r="D263" s="29" t="s">
        <v>37</v>
      </c>
      <c r="E263" s="28" t="s">
        <v>342</v>
      </c>
      <c r="F263" s="28" t="s">
        <v>58</v>
      </c>
      <c r="G263" s="30">
        <f t="shared" si="39"/>
        <v>579876</v>
      </c>
      <c r="H263" s="31">
        <f t="shared" si="39"/>
        <v>579876</v>
      </c>
      <c r="I263" s="31">
        <f t="shared" si="38"/>
        <v>100</v>
      </c>
    </row>
    <row r="264" spans="1:9" ht="15">
      <c r="A264" s="27" t="s">
        <v>149</v>
      </c>
      <c r="B264" s="28" t="s">
        <v>70</v>
      </c>
      <c r="C264" s="29" t="s">
        <v>142</v>
      </c>
      <c r="D264" s="29" t="s">
        <v>37</v>
      </c>
      <c r="E264" s="28" t="s">
        <v>343</v>
      </c>
      <c r="F264" s="28" t="s">
        <v>58</v>
      </c>
      <c r="G264" s="30">
        <f t="shared" si="39"/>
        <v>579876</v>
      </c>
      <c r="H264" s="31">
        <f t="shared" si="39"/>
        <v>579876</v>
      </c>
      <c r="I264" s="31">
        <f t="shared" si="38"/>
        <v>100</v>
      </c>
    </row>
    <row r="265" spans="1:9" ht="15">
      <c r="A265" s="27" t="s">
        <v>32</v>
      </c>
      <c r="B265" s="28" t="s">
        <v>70</v>
      </c>
      <c r="C265" s="29" t="s">
        <v>142</v>
      </c>
      <c r="D265" s="29" t="s">
        <v>37</v>
      </c>
      <c r="E265" s="28" t="s">
        <v>343</v>
      </c>
      <c r="F265" s="28" t="s">
        <v>52</v>
      </c>
      <c r="G265" s="30">
        <f t="shared" si="39"/>
        <v>579876</v>
      </c>
      <c r="H265" s="31">
        <f t="shared" si="39"/>
        <v>579876</v>
      </c>
      <c r="I265" s="31">
        <f t="shared" si="38"/>
        <v>100</v>
      </c>
    </row>
    <row r="266" spans="1:9" ht="15">
      <c r="A266" s="27" t="s">
        <v>126</v>
      </c>
      <c r="B266" s="28" t="s">
        <v>70</v>
      </c>
      <c r="C266" s="29" t="s">
        <v>142</v>
      </c>
      <c r="D266" s="29" t="s">
        <v>37</v>
      </c>
      <c r="E266" s="28" t="s">
        <v>343</v>
      </c>
      <c r="F266" s="28" t="s">
        <v>127</v>
      </c>
      <c r="G266" s="30">
        <f t="shared" si="39"/>
        <v>579876</v>
      </c>
      <c r="H266" s="31">
        <f t="shared" si="39"/>
        <v>579876</v>
      </c>
      <c r="I266" s="31">
        <f t="shared" si="38"/>
        <v>100</v>
      </c>
    </row>
    <row r="267" spans="1:9" ht="15">
      <c r="A267" s="27" t="s">
        <v>33</v>
      </c>
      <c r="B267" s="28" t="s">
        <v>70</v>
      </c>
      <c r="C267" s="29" t="s">
        <v>150</v>
      </c>
      <c r="D267" s="29" t="s">
        <v>138</v>
      </c>
      <c r="E267" s="28" t="s">
        <v>58</v>
      </c>
      <c r="F267" s="28" t="s">
        <v>58</v>
      </c>
      <c r="G267" s="30">
        <f aca="true" t="shared" si="40" ref="G267:G274">10000</f>
        <v>10000</v>
      </c>
      <c r="H267" s="31">
        <f aca="true" t="shared" si="41" ref="H267:H274">5200</f>
        <v>5200</v>
      </c>
      <c r="I267" s="31">
        <f aca="true" t="shared" si="42" ref="I267:I274">52</f>
        <v>52</v>
      </c>
    </row>
    <row r="268" spans="1:9" ht="15">
      <c r="A268" s="27" t="s">
        <v>128</v>
      </c>
      <c r="B268" s="28" t="s">
        <v>70</v>
      </c>
      <c r="C268" s="29" t="s">
        <v>150</v>
      </c>
      <c r="D268" s="29" t="s">
        <v>38</v>
      </c>
      <c r="E268" s="28" t="s">
        <v>58</v>
      </c>
      <c r="F268" s="28" t="s">
        <v>58</v>
      </c>
      <c r="G268" s="30">
        <f t="shared" si="40"/>
        <v>10000</v>
      </c>
      <c r="H268" s="31">
        <f t="shared" si="41"/>
        <v>5200</v>
      </c>
      <c r="I268" s="31">
        <f t="shared" si="42"/>
        <v>52</v>
      </c>
    </row>
    <row r="269" spans="1:9" ht="39">
      <c r="A269" s="27" t="s">
        <v>199</v>
      </c>
      <c r="B269" s="28" t="s">
        <v>70</v>
      </c>
      <c r="C269" s="29" t="s">
        <v>150</v>
      </c>
      <c r="D269" s="29" t="s">
        <v>38</v>
      </c>
      <c r="E269" s="28" t="s">
        <v>200</v>
      </c>
      <c r="F269" s="28" t="s">
        <v>58</v>
      </c>
      <c r="G269" s="30">
        <f t="shared" si="40"/>
        <v>10000</v>
      </c>
      <c r="H269" s="31">
        <f t="shared" si="41"/>
        <v>5200</v>
      </c>
      <c r="I269" s="31">
        <f t="shared" si="42"/>
        <v>52</v>
      </c>
    </row>
    <row r="270" spans="1:9" ht="66">
      <c r="A270" s="27" t="s">
        <v>201</v>
      </c>
      <c r="B270" s="28" t="s">
        <v>70</v>
      </c>
      <c r="C270" s="29" t="s">
        <v>150</v>
      </c>
      <c r="D270" s="29" t="s">
        <v>38</v>
      </c>
      <c r="E270" s="28" t="s">
        <v>202</v>
      </c>
      <c r="F270" s="28" t="s">
        <v>58</v>
      </c>
      <c r="G270" s="30">
        <f t="shared" si="40"/>
        <v>10000</v>
      </c>
      <c r="H270" s="31">
        <f t="shared" si="41"/>
        <v>5200</v>
      </c>
      <c r="I270" s="31">
        <f t="shared" si="42"/>
        <v>52</v>
      </c>
    </row>
    <row r="271" spans="1:9" ht="26.25">
      <c r="A271" s="27" t="s">
        <v>344</v>
      </c>
      <c r="B271" s="28" t="s">
        <v>70</v>
      </c>
      <c r="C271" s="29" t="s">
        <v>150</v>
      </c>
      <c r="D271" s="29" t="s">
        <v>38</v>
      </c>
      <c r="E271" s="28" t="s">
        <v>345</v>
      </c>
      <c r="F271" s="28" t="s">
        <v>58</v>
      </c>
      <c r="G271" s="30">
        <f t="shared" si="40"/>
        <v>10000</v>
      </c>
      <c r="H271" s="31">
        <f t="shared" si="41"/>
        <v>5200</v>
      </c>
      <c r="I271" s="31">
        <f t="shared" si="42"/>
        <v>52</v>
      </c>
    </row>
    <row r="272" spans="1:9" ht="26.25">
      <c r="A272" s="27" t="s">
        <v>129</v>
      </c>
      <c r="B272" s="28" t="s">
        <v>70</v>
      </c>
      <c r="C272" s="29" t="s">
        <v>150</v>
      </c>
      <c r="D272" s="29" t="s">
        <v>38</v>
      </c>
      <c r="E272" s="28" t="s">
        <v>346</v>
      </c>
      <c r="F272" s="28" t="s">
        <v>58</v>
      </c>
      <c r="G272" s="30">
        <f t="shared" si="40"/>
        <v>10000</v>
      </c>
      <c r="H272" s="31">
        <f t="shared" si="41"/>
        <v>5200</v>
      </c>
      <c r="I272" s="31">
        <f t="shared" si="42"/>
        <v>52</v>
      </c>
    </row>
    <row r="273" spans="1:9" ht="26.25">
      <c r="A273" s="27" t="s">
        <v>10</v>
      </c>
      <c r="B273" s="28" t="s">
        <v>70</v>
      </c>
      <c r="C273" s="29" t="s">
        <v>150</v>
      </c>
      <c r="D273" s="29" t="s">
        <v>38</v>
      </c>
      <c r="E273" s="28" t="s">
        <v>346</v>
      </c>
      <c r="F273" s="28" t="s">
        <v>47</v>
      </c>
      <c r="G273" s="30">
        <f t="shared" si="40"/>
        <v>10000</v>
      </c>
      <c r="H273" s="31">
        <f t="shared" si="41"/>
        <v>5200</v>
      </c>
      <c r="I273" s="31">
        <f t="shared" si="42"/>
        <v>52</v>
      </c>
    </row>
    <row r="274" spans="1:9" ht="26.25">
      <c r="A274" s="27" t="s">
        <v>11</v>
      </c>
      <c r="B274" s="28" t="s">
        <v>70</v>
      </c>
      <c r="C274" s="29" t="s">
        <v>150</v>
      </c>
      <c r="D274" s="29" t="s">
        <v>38</v>
      </c>
      <c r="E274" s="28" t="s">
        <v>346</v>
      </c>
      <c r="F274" s="28" t="s">
        <v>48</v>
      </c>
      <c r="G274" s="30">
        <f t="shared" si="40"/>
        <v>10000</v>
      </c>
      <c r="H274" s="31">
        <f t="shared" si="41"/>
        <v>5200</v>
      </c>
      <c r="I274" s="31">
        <f t="shared" si="42"/>
        <v>52</v>
      </c>
    </row>
    <row r="275" spans="1:9" ht="15">
      <c r="A275" s="27" t="s">
        <v>76</v>
      </c>
      <c r="B275" s="28"/>
      <c r="C275" s="29"/>
      <c r="D275" s="29"/>
      <c r="E275" s="27"/>
      <c r="F275" s="27"/>
      <c r="G275" s="30">
        <f>60772541.08</f>
        <v>60772541.08</v>
      </c>
      <c r="H275" s="31">
        <f>55097463.03</f>
        <v>55097463.03</v>
      </c>
      <c r="I275" s="31">
        <f>90.66</f>
        <v>90.66</v>
      </c>
    </row>
  </sheetData>
  <sheetProtection/>
  <autoFilter ref="A11:F275"/>
  <mergeCells count="7">
    <mergeCell ref="A9:A10"/>
    <mergeCell ref="B9:F9"/>
    <mergeCell ref="G9:G10"/>
    <mergeCell ref="H9:H10"/>
    <mergeCell ref="I9:I10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2">
      <selection activeCell="A15" sqref="A15"/>
    </sheetView>
  </sheetViews>
  <sheetFormatPr defaultColWidth="9.140625" defaultRowHeight="12.75"/>
  <cols>
    <col min="1" max="1" width="51.421875" style="3" customWidth="1"/>
    <col min="2" max="2" width="10.140625" style="3" customWidth="1"/>
    <col min="3" max="3" width="11.7109375" style="3" customWidth="1"/>
    <col min="4" max="4" width="10.140625" style="3" customWidth="1"/>
    <col min="5" max="5" width="11.00390625" style="3" customWidth="1"/>
    <col min="6" max="6" width="11.421875" style="3" customWidth="1"/>
    <col min="7" max="7" width="14.421875" style="3" customWidth="1"/>
    <col min="8" max="8" width="16.421875" style="3" customWidth="1"/>
    <col min="9" max="16384" width="8.8515625" style="3" customWidth="1"/>
  </cols>
  <sheetData>
    <row r="1" spans="2:9" ht="15">
      <c r="B1" s="2"/>
      <c r="I1" s="2" t="s">
        <v>34</v>
      </c>
    </row>
    <row r="2" spans="2:9" ht="15">
      <c r="B2" s="2"/>
      <c r="I2" s="2" t="s">
        <v>114</v>
      </c>
    </row>
    <row r="3" spans="2:9" ht="15">
      <c r="B3" s="2"/>
      <c r="I3" s="2" t="s">
        <v>115</v>
      </c>
    </row>
    <row r="4" spans="2:9" ht="15">
      <c r="B4" s="2"/>
      <c r="I4" s="2" t="s">
        <v>116</v>
      </c>
    </row>
    <row r="5" ht="15">
      <c r="I5" s="2" t="s">
        <v>197</v>
      </c>
    </row>
    <row r="7" spans="1:9" ht="15">
      <c r="A7" s="68" t="s">
        <v>198</v>
      </c>
      <c r="B7" s="68"/>
      <c r="C7" s="68"/>
      <c r="D7" s="68"/>
      <c r="E7" s="68"/>
      <c r="F7" s="68"/>
      <c r="G7" s="68"/>
      <c r="H7" s="68"/>
      <c r="I7" s="68"/>
    </row>
    <row r="9" spans="2:9" ht="15">
      <c r="B9" s="4"/>
      <c r="I9" s="11" t="s">
        <v>62</v>
      </c>
    </row>
    <row r="10" spans="1:9" s="6" customFormat="1" ht="15">
      <c r="A10" s="63" t="s">
        <v>79</v>
      </c>
      <c r="B10" s="63" t="s">
        <v>80</v>
      </c>
      <c r="C10" s="63"/>
      <c r="D10" s="63"/>
      <c r="E10" s="63"/>
      <c r="F10" s="63"/>
      <c r="G10" s="63" t="s">
        <v>155</v>
      </c>
      <c r="H10" s="63" t="s">
        <v>81</v>
      </c>
      <c r="I10" s="61" t="s">
        <v>156</v>
      </c>
    </row>
    <row r="11" spans="1:11" s="6" customFormat="1" ht="93">
      <c r="A11" s="63"/>
      <c r="B11" s="5" t="s">
        <v>163</v>
      </c>
      <c r="C11" s="5" t="s">
        <v>164</v>
      </c>
      <c r="D11" s="7" t="s">
        <v>165</v>
      </c>
      <c r="E11" s="7" t="s">
        <v>166</v>
      </c>
      <c r="F11" s="5" t="s">
        <v>167</v>
      </c>
      <c r="G11" s="63"/>
      <c r="H11" s="63"/>
      <c r="I11" s="62"/>
      <c r="K11" s="6" t="s">
        <v>77</v>
      </c>
    </row>
    <row r="12" spans="1:9" ht="15">
      <c r="A12" s="8" t="s">
        <v>0</v>
      </c>
      <c r="B12" s="8" t="s">
        <v>55</v>
      </c>
      <c r="C12" s="8" t="s">
        <v>56</v>
      </c>
      <c r="D12" s="9" t="s">
        <v>162</v>
      </c>
      <c r="E12" s="9">
        <v>4</v>
      </c>
      <c r="F12" s="8">
        <v>6</v>
      </c>
      <c r="G12" s="8">
        <v>7</v>
      </c>
      <c r="H12" s="8">
        <v>8</v>
      </c>
      <c r="I12" s="8">
        <v>9</v>
      </c>
    </row>
    <row r="13" spans="1:9" ht="15">
      <c r="A13" s="18" t="s">
        <v>151</v>
      </c>
      <c r="B13" s="19" t="s">
        <v>101</v>
      </c>
      <c r="C13" s="19" t="s">
        <v>58</v>
      </c>
      <c r="D13" s="19" t="s">
        <v>58</v>
      </c>
      <c r="E13" s="19"/>
      <c r="F13" s="19" t="s">
        <v>58</v>
      </c>
      <c r="G13" s="25">
        <f>555588.78</f>
        <v>555588.78</v>
      </c>
      <c r="H13" s="25">
        <f>543637.92</f>
        <v>543637.92</v>
      </c>
      <c r="I13" s="25">
        <f>97.85</f>
        <v>97.85</v>
      </c>
    </row>
    <row r="14" spans="1:9" ht="124.5">
      <c r="A14" s="17" t="s">
        <v>175</v>
      </c>
      <c r="B14" s="20" t="s">
        <v>101</v>
      </c>
      <c r="C14" s="20" t="s">
        <v>100</v>
      </c>
      <c r="D14" s="20" t="s">
        <v>39</v>
      </c>
      <c r="E14" s="9" t="s">
        <v>84</v>
      </c>
      <c r="F14" s="20" t="s">
        <v>44</v>
      </c>
      <c r="G14" s="26">
        <f>500000</f>
        <v>500000</v>
      </c>
      <c r="H14" s="26">
        <f>488049.17</f>
        <v>488049.17</v>
      </c>
      <c r="I14" s="26">
        <f>97.61</f>
        <v>97.61</v>
      </c>
    </row>
    <row r="15" spans="1:9" ht="78">
      <c r="A15" s="17" t="s">
        <v>176</v>
      </c>
      <c r="B15" s="20" t="s">
        <v>101</v>
      </c>
      <c r="C15" s="20" t="s">
        <v>106</v>
      </c>
      <c r="D15" s="20" t="s">
        <v>39</v>
      </c>
      <c r="E15" s="9" t="s">
        <v>84</v>
      </c>
      <c r="F15" s="20" t="s">
        <v>107</v>
      </c>
      <c r="G15" s="26">
        <f>55588.78</f>
        <v>55588.78</v>
      </c>
      <c r="H15" s="26">
        <f>55588.75</f>
        <v>55588.75</v>
      </c>
      <c r="I15" s="26">
        <f>100</f>
        <v>100</v>
      </c>
    </row>
    <row r="16" spans="1:9" ht="15">
      <c r="A16" s="18" t="s">
        <v>152</v>
      </c>
      <c r="B16" s="19" t="s">
        <v>83</v>
      </c>
      <c r="C16" s="19" t="s">
        <v>58</v>
      </c>
      <c r="D16" s="19" t="s">
        <v>58</v>
      </c>
      <c r="E16" s="19"/>
      <c r="F16" s="19" t="s">
        <v>58</v>
      </c>
      <c r="G16" s="25">
        <f>12047376.73</f>
        <v>12047376.73</v>
      </c>
      <c r="H16" s="25">
        <f>12926620.36</f>
        <v>12926620.36</v>
      </c>
      <c r="I16" s="25">
        <f>107.3</f>
        <v>107.3</v>
      </c>
    </row>
    <row r="17" spans="1:9" ht="124.5">
      <c r="A17" s="17" t="s">
        <v>177</v>
      </c>
      <c r="B17" s="20" t="s">
        <v>83</v>
      </c>
      <c r="C17" s="20" t="s">
        <v>82</v>
      </c>
      <c r="D17" s="20" t="s">
        <v>37</v>
      </c>
      <c r="E17" s="9" t="s">
        <v>84</v>
      </c>
      <c r="F17" s="20" t="s">
        <v>51</v>
      </c>
      <c r="G17" s="26">
        <f>5034834.2</f>
        <v>5034834.2</v>
      </c>
      <c r="H17" s="26">
        <f>5659940.31</f>
        <v>5659940.31</v>
      </c>
      <c r="I17" s="26">
        <f>112.42</f>
        <v>112.42</v>
      </c>
    </row>
    <row r="18" spans="1:9" ht="62.25">
      <c r="A18" s="17" t="s">
        <v>71</v>
      </c>
      <c r="B18" s="20" t="s">
        <v>83</v>
      </c>
      <c r="C18" s="20" t="s">
        <v>85</v>
      </c>
      <c r="D18" s="20" t="s">
        <v>37</v>
      </c>
      <c r="E18" s="9" t="s">
        <v>84</v>
      </c>
      <c r="F18" s="20" t="s">
        <v>51</v>
      </c>
      <c r="G18" s="26">
        <f>28833.54</f>
        <v>28833.54</v>
      </c>
      <c r="H18" s="26">
        <f>28182.34</f>
        <v>28182.34</v>
      </c>
      <c r="I18" s="26">
        <f>97.74</f>
        <v>97.74</v>
      </c>
    </row>
    <row r="19" spans="1:9" ht="171">
      <c r="A19" s="17" t="s">
        <v>178</v>
      </c>
      <c r="B19" s="20" t="s">
        <v>83</v>
      </c>
      <c r="C19" s="20" t="s">
        <v>179</v>
      </c>
      <c r="D19" s="20" t="s">
        <v>37</v>
      </c>
      <c r="E19" s="9" t="s">
        <v>84</v>
      </c>
      <c r="F19" s="20" t="s">
        <v>51</v>
      </c>
      <c r="G19" s="20" t="s">
        <v>58</v>
      </c>
      <c r="H19" s="26">
        <f>3103.56</f>
        <v>3103.56</v>
      </c>
      <c r="I19" s="20" t="s">
        <v>58</v>
      </c>
    </row>
    <row r="20" spans="1:9" ht="62.25">
      <c r="A20" s="17" t="s">
        <v>180</v>
      </c>
      <c r="B20" s="20" t="s">
        <v>83</v>
      </c>
      <c r="C20" s="20" t="s">
        <v>181</v>
      </c>
      <c r="D20" s="20" t="s">
        <v>37</v>
      </c>
      <c r="E20" s="9" t="s">
        <v>84</v>
      </c>
      <c r="F20" s="20" t="s">
        <v>51</v>
      </c>
      <c r="G20" s="26">
        <f>14942.5</f>
        <v>14942.5</v>
      </c>
      <c r="H20" s="26">
        <f>29885</f>
        <v>29885</v>
      </c>
      <c r="I20" s="26">
        <f>200</f>
        <v>200</v>
      </c>
    </row>
    <row r="21" spans="1:9" ht="140.25">
      <c r="A21" s="17" t="s">
        <v>131</v>
      </c>
      <c r="B21" s="20" t="s">
        <v>83</v>
      </c>
      <c r="C21" s="20" t="s">
        <v>86</v>
      </c>
      <c r="D21" s="20" t="s">
        <v>37</v>
      </c>
      <c r="E21" s="9" t="s">
        <v>84</v>
      </c>
      <c r="F21" s="20" t="s">
        <v>51</v>
      </c>
      <c r="G21" s="26">
        <f>3016070</f>
        <v>3016070</v>
      </c>
      <c r="H21" s="26">
        <f>3159884.19</f>
        <v>3159884.19</v>
      </c>
      <c r="I21" s="26">
        <f>104.77</f>
        <v>104.77</v>
      </c>
    </row>
    <row r="22" spans="1:9" s="6" customFormat="1" ht="156">
      <c r="A22" s="17" t="s">
        <v>132</v>
      </c>
      <c r="B22" s="20" t="s">
        <v>83</v>
      </c>
      <c r="C22" s="20" t="s">
        <v>87</v>
      </c>
      <c r="D22" s="20" t="s">
        <v>37</v>
      </c>
      <c r="E22" s="9" t="s">
        <v>84</v>
      </c>
      <c r="F22" s="20" t="s">
        <v>51</v>
      </c>
      <c r="G22" s="26">
        <f>15670</f>
        <v>15670</v>
      </c>
      <c r="H22" s="26">
        <f>16503.78</f>
        <v>16503.78</v>
      </c>
      <c r="I22" s="26">
        <f>105.32</f>
        <v>105.32</v>
      </c>
    </row>
    <row r="23" spans="1:9" ht="140.25">
      <c r="A23" s="17" t="s">
        <v>133</v>
      </c>
      <c r="B23" s="20" t="s">
        <v>83</v>
      </c>
      <c r="C23" s="20" t="s">
        <v>88</v>
      </c>
      <c r="D23" s="20" t="s">
        <v>37</v>
      </c>
      <c r="E23" s="9" t="s">
        <v>84</v>
      </c>
      <c r="F23" s="20" t="s">
        <v>51</v>
      </c>
      <c r="G23" s="26">
        <f>3256500</f>
        <v>3256500</v>
      </c>
      <c r="H23" s="26">
        <f>3265986.89</f>
        <v>3265986.89</v>
      </c>
      <c r="I23" s="26">
        <f>100.29</f>
        <v>100.29</v>
      </c>
    </row>
    <row r="24" spans="1:9" ht="140.25">
      <c r="A24" s="17" t="s">
        <v>134</v>
      </c>
      <c r="B24" s="20" t="s">
        <v>83</v>
      </c>
      <c r="C24" s="20" t="s">
        <v>89</v>
      </c>
      <c r="D24" s="20" t="s">
        <v>37</v>
      </c>
      <c r="E24" s="9" t="s">
        <v>84</v>
      </c>
      <c r="F24" s="20" t="s">
        <v>51</v>
      </c>
      <c r="G24" s="26">
        <f>-427220</f>
        <v>-427220</v>
      </c>
      <c r="H24" s="26">
        <f>-344031.29</f>
        <v>-344031.29</v>
      </c>
      <c r="I24" s="26">
        <f>80.53</f>
        <v>80.53</v>
      </c>
    </row>
    <row r="25" spans="1:9" ht="15">
      <c r="A25" s="17" t="s">
        <v>90</v>
      </c>
      <c r="B25" s="20" t="s">
        <v>83</v>
      </c>
      <c r="C25" s="20" t="s">
        <v>91</v>
      </c>
      <c r="D25" s="20" t="s">
        <v>37</v>
      </c>
      <c r="E25" s="9" t="s">
        <v>84</v>
      </c>
      <c r="F25" s="20" t="s">
        <v>51</v>
      </c>
      <c r="G25" s="26">
        <f>7779</f>
        <v>7779</v>
      </c>
      <c r="H25" s="26">
        <f>7779</f>
        <v>7779</v>
      </c>
      <c r="I25" s="26">
        <f>100</f>
        <v>100</v>
      </c>
    </row>
    <row r="26" spans="1:9" ht="62.25">
      <c r="A26" s="17" t="s">
        <v>182</v>
      </c>
      <c r="B26" s="20" t="s">
        <v>83</v>
      </c>
      <c r="C26" s="20" t="s">
        <v>92</v>
      </c>
      <c r="D26" s="20" t="s">
        <v>39</v>
      </c>
      <c r="E26" s="9" t="s">
        <v>84</v>
      </c>
      <c r="F26" s="20" t="s">
        <v>51</v>
      </c>
      <c r="G26" s="26">
        <f>279631.4</f>
        <v>279631.4</v>
      </c>
      <c r="H26" s="26">
        <f>281975.61</f>
        <v>281975.61</v>
      </c>
      <c r="I26" s="26">
        <f>100.84</f>
        <v>100.84</v>
      </c>
    </row>
    <row r="27" spans="1:9" ht="15">
      <c r="A27" s="17" t="s">
        <v>93</v>
      </c>
      <c r="B27" s="20" t="s">
        <v>83</v>
      </c>
      <c r="C27" s="20" t="s">
        <v>94</v>
      </c>
      <c r="D27" s="20" t="s">
        <v>38</v>
      </c>
      <c r="E27" s="9" t="s">
        <v>84</v>
      </c>
      <c r="F27" s="20" t="s">
        <v>51</v>
      </c>
      <c r="G27" s="26">
        <f>6500</f>
        <v>6500</v>
      </c>
      <c r="H27" s="26">
        <f>4886.22</f>
        <v>4886.22</v>
      </c>
      <c r="I27" s="26">
        <f>75.17</f>
        <v>75.17</v>
      </c>
    </row>
    <row r="28" spans="1:9" ht="15">
      <c r="A28" s="17" t="s">
        <v>95</v>
      </c>
      <c r="B28" s="20" t="s">
        <v>83</v>
      </c>
      <c r="C28" s="20" t="s">
        <v>96</v>
      </c>
      <c r="D28" s="20" t="s">
        <v>38</v>
      </c>
      <c r="E28" s="9" t="s">
        <v>84</v>
      </c>
      <c r="F28" s="20" t="s">
        <v>51</v>
      </c>
      <c r="G28" s="26">
        <f>37500</f>
        <v>37500</v>
      </c>
      <c r="H28" s="26">
        <f>34998.66</f>
        <v>34998.66</v>
      </c>
      <c r="I28" s="26">
        <f>93.33</f>
        <v>93.33</v>
      </c>
    </row>
    <row r="29" spans="1:9" s="6" customFormat="1" ht="46.5">
      <c r="A29" s="17" t="s">
        <v>183</v>
      </c>
      <c r="B29" s="20" t="s">
        <v>83</v>
      </c>
      <c r="C29" s="20" t="s">
        <v>97</v>
      </c>
      <c r="D29" s="20" t="s">
        <v>39</v>
      </c>
      <c r="E29" s="9" t="s">
        <v>84</v>
      </c>
      <c r="F29" s="20" t="s">
        <v>51</v>
      </c>
      <c r="G29" s="26">
        <f>556419.52</f>
        <v>556419.52</v>
      </c>
      <c r="H29" s="26">
        <f>556419.52</f>
        <v>556419.52</v>
      </c>
      <c r="I29" s="26">
        <f>100</f>
        <v>100</v>
      </c>
    </row>
    <row r="30" spans="1:9" ht="46.5">
      <c r="A30" s="17" t="s">
        <v>184</v>
      </c>
      <c r="B30" s="20" t="s">
        <v>83</v>
      </c>
      <c r="C30" s="20" t="s">
        <v>98</v>
      </c>
      <c r="D30" s="20" t="s">
        <v>39</v>
      </c>
      <c r="E30" s="9" t="s">
        <v>84</v>
      </c>
      <c r="F30" s="20" t="s">
        <v>51</v>
      </c>
      <c r="G30" s="26">
        <f>219916.57</f>
        <v>219916.57</v>
      </c>
      <c r="H30" s="26">
        <f>221106.57</f>
        <v>221106.57</v>
      </c>
      <c r="I30" s="26">
        <f>100.54</f>
        <v>100.54</v>
      </c>
    </row>
    <row r="31" spans="1:9" ht="30.75">
      <c r="A31" s="18" t="s">
        <v>168</v>
      </c>
      <c r="B31" s="19" t="s">
        <v>70</v>
      </c>
      <c r="C31" s="19" t="s">
        <v>58</v>
      </c>
      <c r="D31" s="19" t="s">
        <v>58</v>
      </c>
      <c r="E31" s="9" t="s">
        <v>84</v>
      </c>
      <c r="F31" s="19" t="s">
        <v>58</v>
      </c>
      <c r="G31" s="25">
        <f>44271390.73</f>
        <v>44271390.73</v>
      </c>
      <c r="H31" s="25">
        <f>44290160.18</f>
        <v>44290160.18</v>
      </c>
      <c r="I31" s="25">
        <f>100.04</f>
        <v>100.04</v>
      </c>
    </row>
    <row r="32" spans="1:9" s="6" customFormat="1" ht="93">
      <c r="A32" s="17" t="s">
        <v>72</v>
      </c>
      <c r="B32" s="20" t="s">
        <v>70</v>
      </c>
      <c r="C32" s="20" t="s">
        <v>99</v>
      </c>
      <c r="D32" s="20" t="s">
        <v>37</v>
      </c>
      <c r="E32" s="9" t="s">
        <v>84</v>
      </c>
      <c r="F32" s="20" t="s">
        <v>51</v>
      </c>
      <c r="G32" s="26">
        <f>32490</f>
        <v>32490</v>
      </c>
      <c r="H32" s="26">
        <f>32490</f>
        <v>32490</v>
      </c>
      <c r="I32" s="26">
        <f>100</f>
        <v>100</v>
      </c>
    </row>
    <row r="33" spans="1:9" ht="93">
      <c r="A33" s="17" t="s">
        <v>185</v>
      </c>
      <c r="B33" s="20" t="s">
        <v>70</v>
      </c>
      <c r="C33" s="20" t="s">
        <v>102</v>
      </c>
      <c r="D33" s="20" t="s">
        <v>39</v>
      </c>
      <c r="E33" s="9" t="s">
        <v>84</v>
      </c>
      <c r="F33" s="20" t="s">
        <v>44</v>
      </c>
      <c r="G33" s="26">
        <f>184512.94</f>
        <v>184512.94</v>
      </c>
      <c r="H33" s="26">
        <f>184512.94</f>
        <v>184512.94</v>
      </c>
      <c r="I33" s="26">
        <f>100</f>
        <v>100</v>
      </c>
    </row>
    <row r="34" spans="1:9" ht="93">
      <c r="A34" s="17" t="s">
        <v>186</v>
      </c>
      <c r="B34" s="20" t="s">
        <v>70</v>
      </c>
      <c r="C34" s="20" t="s">
        <v>103</v>
      </c>
      <c r="D34" s="20" t="s">
        <v>39</v>
      </c>
      <c r="E34" s="9" t="s">
        <v>84</v>
      </c>
      <c r="F34" s="20" t="s">
        <v>44</v>
      </c>
      <c r="G34" s="26">
        <f>930000</f>
        <v>930000</v>
      </c>
      <c r="H34" s="26">
        <f>946317.03</f>
        <v>946317.03</v>
      </c>
      <c r="I34" s="26">
        <f>101.75</f>
        <v>101.75</v>
      </c>
    </row>
    <row r="35" spans="1:9" ht="46.5">
      <c r="A35" s="17" t="s">
        <v>187</v>
      </c>
      <c r="B35" s="20" t="s">
        <v>70</v>
      </c>
      <c r="C35" s="20" t="s">
        <v>104</v>
      </c>
      <c r="D35" s="20" t="s">
        <v>39</v>
      </c>
      <c r="E35" s="9" t="s">
        <v>84</v>
      </c>
      <c r="F35" s="20" t="s">
        <v>105</v>
      </c>
      <c r="G35" s="26">
        <f>328342.01</f>
        <v>328342.01</v>
      </c>
      <c r="H35" s="26">
        <f>333441.9</f>
        <v>333441.9</v>
      </c>
      <c r="I35" s="26">
        <f>101.55</f>
        <v>101.55</v>
      </c>
    </row>
    <row r="36" spans="1:9" s="6" customFormat="1" ht="30.75">
      <c r="A36" s="17" t="s">
        <v>188</v>
      </c>
      <c r="B36" s="20" t="s">
        <v>70</v>
      </c>
      <c r="C36" s="20" t="s">
        <v>135</v>
      </c>
      <c r="D36" s="20" t="s">
        <v>39</v>
      </c>
      <c r="E36" s="9" t="s">
        <v>84</v>
      </c>
      <c r="F36" s="20" t="s">
        <v>105</v>
      </c>
      <c r="G36" s="26">
        <f>9605.82</f>
        <v>9605.82</v>
      </c>
      <c r="H36" s="26">
        <f>9605.82</f>
        <v>9605.82</v>
      </c>
      <c r="I36" s="26">
        <f aca="true" t="shared" si="0" ref="I36:I41">100</f>
        <v>100</v>
      </c>
    </row>
    <row r="37" spans="1:9" ht="124.5">
      <c r="A37" s="17" t="s">
        <v>189</v>
      </c>
      <c r="B37" s="20" t="s">
        <v>70</v>
      </c>
      <c r="C37" s="20" t="s">
        <v>169</v>
      </c>
      <c r="D37" s="20" t="s">
        <v>39</v>
      </c>
      <c r="E37" s="9" t="s">
        <v>84</v>
      </c>
      <c r="F37" s="20" t="s">
        <v>170</v>
      </c>
      <c r="G37" s="26">
        <f>193000</f>
        <v>193000</v>
      </c>
      <c r="H37" s="26">
        <f>193000</f>
        <v>193000</v>
      </c>
      <c r="I37" s="26">
        <f t="shared" si="0"/>
        <v>100</v>
      </c>
    </row>
    <row r="38" spans="1:9" ht="30.75">
      <c r="A38" s="17" t="s">
        <v>190</v>
      </c>
      <c r="B38" s="20" t="s">
        <v>70</v>
      </c>
      <c r="C38" s="20" t="s">
        <v>108</v>
      </c>
      <c r="D38" s="20" t="s">
        <v>39</v>
      </c>
      <c r="E38" s="9" t="s">
        <v>84</v>
      </c>
      <c r="F38" s="20" t="s">
        <v>109</v>
      </c>
      <c r="G38" s="26">
        <f>28737900</f>
        <v>28737900</v>
      </c>
      <c r="H38" s="26">
        <f>28737900</f>
        <v>28737900</v>
      </c>
      <c r="I38" s="26">
        <f t="shared" si="0"/>
        <v>100</v>
      </c>
    </row>
    <row r="39" spans="1:9" ht="46.5">
      <c r="A39" s="17" t="s">
        <v>191</v>
      </c>
      <c r="B39" s="20" t="s">
        <v>70</v>
      </c>
      <c r="C39" s="20" t="s">
        <v>110</v>
      </c>
      <c r="D39" s="20" t="s">
        <v>39</v>
      </c>
      <c r="E39" s="9" t="s">
        <v>84</v>
      </c>
      <c r="F39" s="20" t="s">
        <v>109</v>
      </c>
      <c r="G39" s="26">
        <f>3123.17</f>
        <v>3123.17</v>
      </c>
      <c r="H39" s="26">
        <f>3123.17</f>
        <v>3123.17</v>
      </c>
      <c r="I39" s="26">
        <f t="shared" si="0"/>
        <v>100</v>
      </c>
    </row>
    <row r="40" spans="1:9" ht="62.25">
      <c r="A40" s="17" t="s">
        <v>192</v>
      </c>
      <c r="B40" s="20" t="s">
        <v>70</v>
      </c>
      <c r="C40" s="20" t="s">
        <v>111</v>
      </c>
      <c r="D40" s="20" t="s">
        <v>39</v>
      </c>
      <c r="E40" s="9" t="s">
        <v>84</v>
      </c>
      <c r="F40" s="20" t="s">
        <v>109</v>
      </c>
      <c r="G40" s="26">
        <f>692700</f>
        <v>692700</v>
      </c>
      <c r="H40" s="26">
        <f>692700</f>
        <v>692700</v>
      </c>
      <c r="I40" s="26">
        <f t="shared" si="0"/>
        <v>100</v>
      </c>
    </row>
    <row r="41" spans="1:9" ht="30.75">
      <c r="A41" s="17" t="s">
        <v>193</v>
      </c>
      <c r="B41" s="20" t="s">
        <v>70</v>
      </c>
      <c r="C41" s="20" t="s">
        <v>112</v>
      </c>
      <c r="D41" s="20" t="s">
        <v>39</v>
      </c>
      <c r="E41" s="9" t="s">
        <v>84</v>
      </c>
      <c r="F41" s="20" t="s">
        <v>109</v>
      </c>
      <c r="G41" s="26">
        <f>131940.78</f>
        <v>131940.78</v>
      </c>
      <c r="H41" s="26">
        <f>131940.78</f>
        <v>131940.78</v>
      </c>
      <c r="I41" s="26">
        <f t="shared" si="0"/>
        <v>100</v>
      </c>
    </row>
    <row r="42" spans="1:9" ht="30.75">
      <c r="A42" s="17" t="s">
        <v>194</v>
      </c>
      <c r="B42" s="20" t="s">
        <v>70</v>
      </c>
      <c r="C42" s="20" t="s">
        <v>113</v>
      </c>
      <c r="D42" s="20" t="s">
        <v>39</v>
      </c>
      <c r="E42" s="9" t="s">
        <v>84</v>
      </c>
      <c r="F42" s="20" t="s">
        <v>109</v>
      </c>
      <c r="G42" s="26">
        <f>12858293.78</f>
        <v>12858293.78</v>
      </c>
      <c r="H42" s="26">
        <f>12855646.31</f>
        <v>12855646.31</v>
      </c>
      <c r="I42" s="26">
        <f>99.98</f>
        <v>99.98</v>
      </c>
    </row>
    <row r="43" spans="1:9" ht="46.5">
      <c r="A43" s="17" t="s">
        <v>195</v>
      </c>
      <c r="B43" s="20" t="s">
        <v>70</v>
      </c>
      <c r="C43" s="20" t="s">
        <v>196</v>
      </c>
      <c r="D43" s="20" t="s">
        <v>39</v>
      </c>
      <c r="E43" s="9" t="s">
        <v>84</v>
      </c>
      <c r="F43" s="20" t="s">
        <v>109</v>
      </c>
      <c r="G43" s="26">
        <f>169482.23</f>
        <v>169482.23</v>
      </c>
      <c r="H43" s="26">
        <f>169482.23</f>
        <v>169482.23</v>
      </c>
      <c r="I43" s="26">
        <f>100</f>
        <v>100</v>
      </c>
    </row>
    <row r="44" spans="1:9" s="6" customFormat="1" ht="15">
      <c r="A44" s="65" t="s">
        <v>76</v>
      </c>
      <c r="B44" s="66"/>
      <c r="C44" s="66"/>
      <c r="D44" s="66"/>
      <c r="E44" s="66"/>
      <c r="F44" s="67"/>
      <c r="G44" s="25">
        <f>56874356.24</f>
        <v>56874356.24</v>
      </c>
      <c r="H44" s="25">
        <f>57760418.46</f>
        <v>57760418.46</v>
      </c>
      <c r="I44" s="25">
        <f>101.56</f>
        <v>101.56</v>
      </c>
    </row>
  </sheetData>
  <sheetProtection/>
  <mergeCells count="7">
    <mergeCell ref="A44:F44"/>
    <mergeCell ref="H10:H11"/>
    <mergeCell ref="I10:I11"/>
    <mergeCell ref="A7:I7"/>
    <mergeCell ref="A10:A11"/>
    <mergeCell ref="B10:F10"/>
    <mergeCell ref="G10:G11"/>
  </mergeCells>
  <printOptions/>
  <pageMargins left="0.7874015748031497" right="0.31496062992125984" top="0.4330708661417323" bottom="0.4330708661417323" header="0.3937007874015748" footer="0.3937007874015748"/>
  <pageSetup fitToHeight="4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Анастасия Шепелина</cp:lastModifiedBy>
  <cp:lastPrinted>2023-03-06T11:17:41Z</cp:lastPrinted>
  <dcterms:created xsi:type="dcterms:W3CDTF">2022-03-11T07:46:50Z</dcterms:created>
  <dcterms:modified xsi:type="dcterms:W3CDTF">2024-03-25T09:55:44Z</dcterms:modified>
  <cp:category/>
  <cp:version/>
  <cp:contentType/>
  <cp:contentStatus/>
</cp:coreProperties>
</file>