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<sst xmlns="http://schemas.openxmlformats.org/spreadsheetml/2006/main" count="804" uniqueCount="269">
  <si>
    <t>ОТЧЕТ ОБ ИСПОЛНЕНИИ БЮДЖЕТА</t>
  </si>
  <si>
    <t>КОДЫ</t>
  </si>
  <si>
    <t xml:space="preserve">Форма по ОКУД </t>
  </si>
  <si>
    <t>0503117</t>
  </si>
  <si>
    <t>на 1 января 2023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</si>
  <si>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</si>
  <si>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</si>
  <si>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</si>
  <si>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</si>
  <si>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</si>
  <si>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</si>
  <si>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</si>
  <si>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</si>
  <si>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</si>
  <si>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</si>
  <si>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</si>
  <si>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</si>
  <si>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</si>
  <si>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</si>
  <si>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</si>
  <si>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</si>
  <si>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</si>
  <si>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</si>
  <si>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</si>
  <si>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</si>
  <si>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</si>
  <si>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</si>
  <si>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</si>
  <si>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</si>
  <si>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</si>
  <si>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</si>
  <si>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</si>
  <si>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</si>
  <si>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</si>
  <si>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</si>
  <si>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</si>
  <si>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</si>
  <si>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</si>
  <si>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</si>
  <si>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</si>
  <si>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</si>
  <si>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</si>
  <si>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</si>
  <si>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</si>
  <si>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</si>
  <si>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</si>
  <si>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</si>
  <si>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</si>
  <si>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</si>
  <si>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</si>
  <si>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</si>
  <si>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</si>
  <si>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</si>
  <si>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</si>
  <si>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</si>
  <si>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</si>
  <si>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</si>
  <si>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</si>
  <si>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</si>
  <si>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</si>
  <si>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</si>
  <si>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</si>
  <si>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</si>
  <si>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</si>
  <si>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</si>
  <si>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</si>
  <si>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</si>
  <si>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</si>
  <si>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</si>
  <si>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</si>
  <si>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</si>
  <si>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</si>
  <si>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</si>
  <si>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</si>
  <si>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</si>
  <si>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</si>
  <si>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</si>
  <si>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</si>
  <si>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</si>
  <si>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</si>
  <si>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</si>
  <si>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</si>
  <si>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</si>
  <si>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</si>
  <si>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</si>
  <si>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</si>
  <si>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</si>
  <si>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</si>
  <si>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</si>
  <si>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</si>
  <si>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</si>
  <si>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</si>
  <si>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</si>
  <si>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</si>
  <si>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</si>
  <si>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</si>
  <si>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</si>
  <si>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</si>
  <si>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</si>
  <si>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</si>
  <si>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</si>
  <si>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</si>
  <si>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</si>
  <si>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</si>
  <si>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</si>
  <si>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</si>
  <si>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</si>
  <si>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</si>
  <si>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</si>
  <si>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</si>
  <si>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</si>
  <si>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</si>
  <si>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</si>
  <si>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</si>
  <si>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</si>
  <si>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</si>
  <si>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</si>
  <si>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</si>
  <si>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</si>
  <si>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текущего характера другим бюджетам бюджетной системы Российской Федерации</t>
  </si>
  <si>
    <t>650 0104 1041202040 540</t>
  </si>
  <si>
    <t>251</t>
  </si>
  <si>
    <t>Расходы</t>
  </si>
  <si>
    <t>650 0111 6000007050 870</t>
  </si>
  <si>
    <t>650 0113 1014202400 244</t>
  </si>
  <si>
    <t>650 0113 1014400590 244</t>
  </si>
  <si>
    <t>650 0113 1014402400 244</t>
  </si>
  <si>
    <t>650 0113 1014502400 244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</si>
  <si>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</si>
  <si>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</si>
  <si>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</si>
  <si>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</si>
  <si>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</si>
  <si>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</si>
  <si>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</si>
  <si>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</si>
  <si>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</si>
  <si>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</si>
  <si>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</si>
  <si>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</si>
  <si>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</si>
  <si>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</si>
  <si>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</si>
  <si>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</si>
  <si>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</si>
  <si>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</si>
  <si>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</si>
  <si>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</si>
  <si>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</si>
  <si>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</si>
  <si>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650 0113 1041402400 247</t>
  </si>
  <si>
    <t>Налоги, пошлины и сборы</t>
  </si>
  <si>
    <t>650 0113 1041402400 852</t>
  </si>
  <si>
    <t>291</t>
  </si>
  <si>
    <t>Другие экономические санкции</t>
  </si>
  <si>
    <t>650 0113 6000002400 831</t>
  </si>
  <si>
    <t>295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</si>
  <si>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</si>
  <si>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</si>
  <si>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</si>
  <si>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</si>
  <si>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650 0113 6000002400 852</t>
  </si>
  <si>
    <t>650 0113 6000002400 853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</si>
  <si>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</si>
  <si>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</si>
  <si>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</si>
  <si>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</si>
  <si>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</si>
  <si>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</si>
  <si>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</si>
  <si>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Работы, услуги по содержанию имущества</t>
  </si>
  <si>
    <t>650 0310 1522100590 244</t>
  </si>
  <si>
    <t>225</t>
  </si>
  <si>
    <t>Увеличение стоимости прочих материальных запасов однократного применения</t>
  </si>
  <si>
    <t>650 0310 1522300590 244</t>
  </si>
  <si>
    <t>349</t>
  </si>
  <si>
    <t>650 0314 1211500590 244</t>
  </si>
  <si>
    <t>650 0314 1221182300 123</t>
  </si>
  <si>
    <t>650 0314 1221182300 244</t>
  </si>
  <si>
    <t>650 0314 12211S2300 123</t>
  </si>
  <si>
    <t>650 0314 12211S2300 244</t>
  </si>
  <si>
    <t>650 0401 1042170145 111</t>
  </si>
  <si>
    <t>650 0401 1042170145 119</t>
  </si>
  <si>
    <t>650 0401 1042170145 244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</si>
  <si>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</si>
  <si>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</si>
  <si>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</si>
  <si>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</si>
  <si>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</si>
  <si>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</si>
  <si>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</si>
  <si>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</si>
  <si>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</si>
  <si>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</si>
  <si>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</si>
  <si>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650 0409 1111492400 247</t>
  </si>
  <si>
    <t>Увеличение стоимости основных средств</t>
  </si>
  <si>
    <t>650 0409 1111592400 244</t>
  </si>
  <si>
    <t>310</t>
  </si>
  <si>
    <t>650 0409 1111682390 540</t>
  </si>
  <si>
    <t>650 0409 1111682751 540</t>
  </si>
  <si>
    <t>650 0409 1111692400 244</t>
  </si>
  <si>
    <t>Увеличение стоимости строительных материалов</t>
  </si>
  <si>
    <t>344</t>
  </si>
  <si>
    <t>Увеличение стоимости материальных запасов для целей капитальных вложений</t>
  </si>
  <si>
    <t>347</t>
  </si>
  <si>
    <t>650 0409 11116S2390 540</t>
  </si>
  <si>
    <t>650 0409 11116S2751 540</t>
  </si>
  <si>
    <t>650 0409 1111792400 244</t>
  </si>
  <si>
    <t>650 0409 1112192400 244</t>
  </si>
  <si>
    <t>650 0412 1041202040 540</t>
  </si>
  <si>
    <t>650 0501 1341102400 244</t>
  </si>
  <si>
    <t>650 0501 1351102400 244</t>
  </si>
  <si>
    <t>650 0501 1351102400 247</t>
  </si>
  <si>
    <t>650 0501 1351302400 244</t>
  </si>
  <si>
    <t>650 0503 1421600590 244</t>
  </si>
  <si>
    <t>650 0503 1431200590 244</t>
  </si>
  <si>
    <t>650 0503 1431300590 244</t>
  </si>
  <si>
    <t>650 0503 1431400590 244</t>
  </si>
  <si>
    <t>650 0505 1041202040 540</t>
  </si>
  <si>
    <t>650 0707 0913100590 111</t>
  </si>
  <si>
    <t>650 0707 0913100590 119</t>
  </si>
  <si>
    <t>650 0707 1041300590 112</t>
  </si>
  <si>
    <t>650 0707 6000070280 244</t>
  </si>
  <si>
    <t>650 0801 0911300590 244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</si>
  <si>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</si>
  <si>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</si>
  <si>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</si>
  <si>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</si>
  <si>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</si>
  <si>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</si>
  <si>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</si>
  <si>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</si>
  <si>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</si>
  <si>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650 0801 0921170050 244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</si>
  <si>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</si>
  <si>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</si>
  <si>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</si>
  <si>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</si>
  <si>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</si>
  <si>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</si>
  <si>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</si>
  <si>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</si>
  <si>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</si>
  <si>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</si>
  <si>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</si>
  <si>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</si>
  <si>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</si>
  <si>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</si>
  <si>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</si>
  <si>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</si>
  <si>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</si>
  <si>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</si>
  <si>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</si>
  <si>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</si>
  <si>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</si>
  <si>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</si>
  <si>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</si>
  <si>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</si>
  <si>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</si>
  <si>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</si>
  <si>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</si>
  <si>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</si>
  <si>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 финансово-экономической деятельности</t>
  </si>
  <si>
    <t>А. Н. Шепелина</t>
  </si>
  <si>
    <t>Исполнитель:</t>
  </si>
  <si>
    <t>(должность)</t>
  </si>
  <si>
    <t xml:space="preserve">   13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</si>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</sst>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6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44927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10</v>
      </c>
    </row>
    <row r="6" spans="1:29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13</v>
      </c>
      <c r="Z6" s="9"/>
      <c r="AA6" s="9"/>
      <c r="AB6" s="9"/>
      <c r="AC6" s="6" t="s">
        <v>14</v>
      </c>
    </row>
    <row r="7" spans="1:29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10</v>
      </c>
    </row>
    <row r="8" spans="1:29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19</v>
      </c>
      <c r="Y8" s="9"/>
      <c r="Z8" s="9"/>
      <c r="AA8" s="9"/>
      <c r="AB8" s="9"/>
      <c r="AC8" s="7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72218908.29</f>
        <v>72218908.29</v>
      </c>
      <c r="T12" s="21"/>
      <c r="U12" s="21"/>
      <c r="V12" s="21">
        <f>72882602.57</f>
        <v>72882602.57</v>
      </c>
      <c r="W12" s="21"/>
      <c r="X12" s="21"/>
      <c r="Y12" s="21"/>
      <c r="Z12" s="21"/>
      <c r="AA12" s="22" t="s">
        <v>37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39</v>
      </c>
      <c r="Q13" s="24"/>
      <c r="R13" s="24"/>
      <c r="S13" s="25">
        <f>234241.8</f>
        <v>234241.8</v>
      </c>
      <c r="T13" s="25"/>
      <c r="U13" s="25"/>
      <c r="V13" s="25">
        <f>248862.82</f>
        <v>248862.82</v>
      </c>
      <c r="W13" s="25"/>
      <c r="X13" s="25"/>
      <c r="Y13" s="25"/>
      <c r="Z13" s="25"/>
      <c r="AA13" s="26" t="s">
        <v>37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51396.35</f>
        <v>51396.35</v>
      </c>
      <c r="T14" s="25"/>
      <c r="U14" s="25"/>
      <c r="V14" s="25">
        <f>54983.56</f>
        <v>54983.56</v>
      </c>
      <c r="W14" s="25"/>
      <c r="X14" s="25"/>
      <c r="Y14" s="25"/>
      <c r="Z14" s="25"/>
      <c r="AA14" s="26" t="s">
        <v>37</v>
      </c>
      <c r="AB14" s="26"/>
      <c r="AC14" s="26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2646357.96</f>
        <v>2646357.96</v>
      </c>
      <c r="T15" s="25"/>
      <c r="U15" s="25"/>
      <c r="V15" s="25">
        <f>2881252.79</f>
        <v>2881252.79</v>
      </c>
      <c r="W15" s="25"/>
      <c r="X15" s="25"/>
      <c r="Y15" s="25"/>
      <c r="Z15" s="25"/>
      <c r="AA15" s="26" t="s">
        <v>37</v>
      </c>
      <c r="AB15" s="26"/>
      <c r="AC15" s="26"/>
    </row>
    <row r="16" spans="1:29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14578.67</f>
        <v>14578.67</v>
      </c>
      <c r="T16" s="25"/>
      <c r="U16" s="25"/>
      <c r="V16" s="25">
        <f>15563.23</f>
        <v>15563.23</v>
      </c>
      <c r="W16" s="25"/>
      <c r="X16" s="25"/>
      <c r="Y16" s="25"/>
      <c r="Z16" s="25"/>
      <c r="AA16" s="26" t="s">
        <v>37</v>
      </c>
      <c r="AB16" s="26"/>
      <c r="AC16" s="26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2998720</f>
        <v>2998720</v>
      </c>
      <c r="T17" s="25"/>
      <c r="U17" s="25"/>
      <c r="V17" s="25">
        <f>3181228.47</f>
        <v>3181228.47</v>
      </c>
      <c r="W17" s="25"/>
      <c r="X17" s="25"/>
      <c r="Y17" s="25"/>
      <c r="Z17" s="25"/>
      <c r="AA17" s="26" t="s">
        <v>37</v>
      </c>
      <c r="AB17" s="26"/>
      <c r="AC17" s="26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-304385.84</f>
        <v>-304385.84</v>
      </c>
      <c r="T18" s="25"/>
      <c r="U18" s="25"/>
      <c r="V18" s="25">
        <f>-330563.3</f>
        <v>-330563.3</v>
      </c>
      <c r="W18" s="25"/>
      <c r="X18" s="25"/>
      <c r="Y18" s="25"/>
      <c r="Z18" s="25"/>
      <c r="AA18" s="26" t="s">
        <v>37</v>
      </c>
      <c r="AB18" s="26"/>
      <c r="AC18" s="26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4448908.59</f>
        <v>4448908.59</v>
      </c>
      <c r="T19" s="25"/>
      <c r="U19" s="25"/>
      <c r="V19" s="25">
        <f>4703942.05</f>
        <v>4703942.05</v>
      </c>
      <c r="W19" s="25"/>
      <c r="X19" s="25"/>
      <c r="Y19" s="25"/>
      <c r="Z19" s="25"/>
      <c r="AA19" s="26" t="s">
        <v>37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24995.71</f>
        <v>24995.71</v>
      </c>
      <c r="T20" s="25"/>
      <c r="U20" s="25"/>
      <c r="V20" s="25">
        <f>24995.72</f>
        <v>24995.72</v>
      </c>
      <c r="W20" s="25"/>
      <c r="X20" s="25"/>
      <c r="Y20" s="25"/>
      <c r="Z20" s="25"/>
      <c r="AA20" s="26" t="s">
        <v>37</v>
      </c>
      <c r="AB20" s="26"/>
      <c r="AC20" s="26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43666.37</f>
        <v>43666.37</v>
      </c>
      <c r="T21" s="25"/>
      <c r="U21" s="25"/>
      <c r="V21" s="25">
        <f>43666.37</f>
        <v>43666.37</v>
      </c>
      <c r="W21" s="25"/>
      <c r="X21" s="25"/>
      <c r="Y21" s="25"/>
      <c r="Z21" s="25"/>
      <c r="AA21" s="27">
        <f>0</f>
        <v>0</v>
      </c>
      <c r="AB21" s="27"/>
      <c r="AC21" s="27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238346.95</f>
        <v>238346.95</v>
      </c>
      <c r="T22" s="25"/>
      <c r="U22" s="25"/>
      <c r="V22" s="25">
        <f>250922.51</f>
        <v>250922.51</v>
      </c>
      <c r="W22" s="25"/>
      <c r="X22" s="25"/>
      <c r="Y22" s="25"/>
      <c r="Z22" s="25"/>
      <c r="AA22" s="26" t="s">
        <v>37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6500</f>
        <v>6500</v>
      </c>
      <c r="T23" s="25"/>
      <c r="U23" s="25"/>
      <c r="V23" s="25">
        <f>7116.96</f>
        <v>7116.96</v>
      </c>
      <c r="W23" s="25"/>
      <c r="X23" s="25"/>
      <c r="Y23" s="25"/>
      <c r="Z23" s="25"/>
      <c r="AA23" s="26" t="s">
        <v>37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35691.09</f>
        <v>35691.09</v>
      </c>
      <c r="T24" s="25"/>
      <c r="U24" s="25"/>
      <c r="V24" s="25">
        <f>37840.56</f>
        <v>37840.56</v>
      </c>
      <c r="W24" s="25"/>
      <c r="X24" s="25"/>
      <c r="Y24" s="25"/>
      <c r="Z24" s="25"/>
      <c r="AA24" s="26" t="s">
        <v>37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845162.59</f>
        <v>845162.59</v>
      </c>
      <c r="T25" s="25"/>
      <c r="U25" s="25"/>
      <c r="V25" s="25">
        <f>889433.42</f>
        <v>889433.42</v>
      </c>
      <c r="W25" s="25"/>
      <c r="X25" s="25"/>
      <c r="Y25" s="25"/>
      <c r="Z25" s="25"/>
      <c r="AA25" s="26" t="s">
        <v>37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431887.28</f>
        <v>431887.28</v>
      </c>
      <c r="T26" s="25"/>
      <c r="U26" s="25"/>
      <c r="V26" s="25">
        <f>434000.61</f>
        <v>434000.61</v>
      </c>
      <c r="W26" s="25"/>
      <c r="X26" s="25"/>
      <c r="Y26" s="25"/>
      <c r="Z26" s="25"/>
      <c r="AA26" s="26" t="s">
        <v>37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46000</f>
        <v>46000</v>
      </c>
      <c r="T27" s="25"/>
      <c r="U27" s="25"/>
      <c r="V27" s="25">
        <f>34820</f>
        <v>34820</v>
      </c>
      <c r="W27" s="25"/>
      <c r="X27" s="25"/>
      <c r="Y27" s="25"/>
      <c r="Z27" s="25"/>
      <c r="AA27" s="27">
        <f>11180</f>
        <v>11180</v>
      </c>
      <c r="AB27" s="27"/>
      <c r="AC27" s="27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9600</f>
        <v>9600</v>
      </c>
      <c r="T28" s="25"/>
      <c r="U28" s="25"/>
      <c r="V28" s="25">
        <f>9600</f>
        <v>9600</v>
      </c>
      <c r="W28" s="25"/>
      <c r="X28" s="25"/>
      <c r="Y28" s="25"/>
      <c r="Z28" s="25"/>
      <c r="AA28" s="27">
        <f>0</f>
        <v>0</v>
      </c>
      <c r="AB28" s="27"/>
      <c r="AC28" s="27"/>
    </row>
    <row r="29" spans="1:29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72500</f>
        <v>72500</v>
      </c>
      <c r="T29" s="25"/>
      <c r="U29" s="25"/>
      <c r="V29" s="25">
        <f>49381.62</f>
        <v>49381.62</v>
      </c>
      <c r="W29" s="25"/>
      <c r="X29" s="25"/>
      <c r="Y29" s="25"/>
      <c r="Z29" s="25"/>
      <c r="AA29" s="27">
        <f>23118.38</f>
        <v>23118.38</v>
      </c>
      <c r="AB29" s="27"/>
      <c r="AC29" s="27"/>
    </row>
    <row r="30" spans="1:29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900000</f>
        <v>900000</v>
      </c>
      <c r="T30" s="25"/>
      <c r="U30" s="25"/>
      <c r="V30" s="25">
        <f>914110.89</f>
        <v>914110.89</v>
      </c>
      <c r="W30" s="25"/>
      <c r="X30" s="25"/>
      <c r="Y30" s="25"/>
      <c r="Z30" s="25"/>
      <c r="AA30" s="26" t="s">
        <v>37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346000</f>
        <v>346000</v>
      </c>
      <c r="T31" s="25"/>
      <c r="U31" s="25"/>
      <c r="V31" s="25">
        <f>302809.65</f>
        <v>302809.65</v>
      </c>
      <c r="W31" s="25"/>
      <c r="X31" s="25"/>
      <c r="Y31" s="25"/>
      <c r="Z31" s="25"/>
      <c r="AA31" s="27">
        <f>43190.35</f>
        <v>43190.35</v>
      </c>
      <c r="AB31" s="27"/>
      <c r="AC31" s="27"/>
    </row>
    <row r="32" spans="1:29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47689.97</f>
        <v>47689.97</v>
      </c>
      <c r="T32" s="25"/>
      <c r="U32" s="25"/>
      <c r="V32" s="25">
        <f>47689.97</f>
        <v>47689.97</v>
      </c>
      <c r="W32" s="25"/>
      <c r="X32" s="25"/>
      <c r="Y32" s="25"/>
      <c r="Z32" s="25"/>
      <c r="AA32" s="27">
        <f aca="true" t="shared" si="0" ref="AA32:AA38">0</f>
        <v>0</v>
      </c>
      <c r="AB32" s="27"/>
      <c r="AC32" s="27"/>
    </row>
    <row r="33" spans="1:29" s="1" customFormat="1" ht="54.7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1328000</f>
        <v>1328000</v>
      </c>
      <c r="T33" s="25"/>
      <c r="U33" s="25"/>
      <c r="V33" s="25">
        <f>1328000</f>
        <v>1328000</v>
      </c>
      <c r="W33" s="25"/>
      <c r="X33" s="25"/>
      <c r="Y33" s="25"/>
      <c r="Z33" s="25"/>
      <c r="AA33" s="27">
        <f t="shared" si="0"/>
        <v>0</v>
      </c>
      <c r="AB33" s="27"/>
      <c r="AC33" s="27"/>
    </row>
    <row r="34" spans="1:29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20061</f>
        <v>20061</v>
      </c>
      <c r="T34" s="25"/>
      <c r="U34" s="25"/>
      <c r="V34" s="25">
        <f>20061</f>
        <v>20061</v>
      </c>
      <c r="W34" s="25"/>
      <c r="X34" s="25"/>
      <c r="Y34" s="25"/>
      <c r="Z34" s="25"/>
      <c r="AA34" s="27">
        <f t="shared" si="0"/>
        <v>0</v>
      </c>
      <c r="AB34" s="27"/>
      <c r="AC34" s="27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26466729</f>
        <v>26466729</v>
      </c>
      <c r="T35" s="25"/>
      <c r="U35" s="25"/>
      <c r="V35" s="25">
        <f>26466729</f>
        <v>26466729</v>
      </c>
      <c r="W35" s="25"/>
      <c r="X35" s="25"/>
      <c r="Y35" s="25"/>
      <c r="Z35" s="25"/>
      <c r="AA35" s="27">
        <f t="shared" si="0"/>
        <v>0</v>
      </c>
      <c r="AB35" s="27"/>
      <c r="AC35" s="27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19673.88</f>
        <v>19673.88</v>
      </c>
      <c r="T36" s="25"/>
      <c r="U36" s="25"/>
      <c r="V36" s="25">
        <f>19673.88</f>
        <v>19673.88</v>
      </c>
      <c r="W36" s="25"/>
      <c r="X36" s="25"/>
      <c r="Y36" s="25"/>
      <c r="Z36" s="25"/>
      <c r="AA36" s="27">
        <f t="shared" si="0"/>
        <v>0</v>
      </c>
      <c r="AB36" s="27"/>
      <c r="AC36" s="27"/>
    </row>
    <row r="37" spans="1:29" s="1" customFormat="1" ht="33.75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523500</f>
        <v>523500</v>
      </c>
      <c r="T37" s="25"/>
      <c r="U37" s="25"/>
      <c r="V37" s="25">
        <f>523500</f>
        <v>523500</v>
      </c>
      <c r="W37" s="25"/>
      <c r="X37" s="25"/>
      <c r="Y37" s="25"/>
      <c r="Z37" s="25"/>
      <c r="AA37" s="27">
        <f t="shared" si="0"/>
        <v>0</v>
      </c>
      <c r="AB37" s="27"/>
      <c r="AC37" s="27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84219.51</f>
        <v>84219.51</v>
      </c>
      <c r="T38" s="25"/>
      <c r="U38" s="25"/>
      <c r="V38" s="25">
        <f>84219.51</f>
        <v>84219.51</v>
      </c>
      <c r="W38" s="25"/>
      <c r="X38" s="25"/>
      <c r="Y38" s="25"/>
      <c r="Z38" s="25"/>
      <c r="AA38" s="27">
        <f t="shared" si="0"/>
        <v>0</v>
      </c>
      <c r="AB38" s="27"/>
      <c r="AC38" s="27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30438867.41</f>
        <v>30438867.41</v>
      </c>
      <c r="T39" s="25"/>
      <c r="U39" s="25"/>
      <c r="V39" s="25">
        <f>30438761.28</f>
        <v>30438761.28</v>
      </c>
      <c r="W39" s="25"/>
      <c r="X39" s="25"/>
      <c r="Y39" s="25"/>
      <c r="Z39" s="25"/>
      <c r="AA39" s="27">
        <f>106.13</f>
        <v>106.13</v>
      </c>
      <c r="AB39" s="27"/>
      <c r="AC39" s="27"/>
    </row>
    <row r="40" spans="1:29" s="1" customFormat="1" ht="13.5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35</v>
      </c>
      <c r="N40" s="24"/>
      <c r="O40" s="24"/>
      <c r="P40" s="24" t="s">
        <v>93</v>
      </c>
      <c r="Q40" s="24"/>
      <c r="R40" s="24"/>
      <c r="S40" s="25">
        <f>200000</f>
        <v>200000</v>
      </c>
      <c r="T40" s="25"/>
      <c r="U40" s="25"/>
      <c r="V40" s="25">
        <f>200000</f>
        <v>200000</v>
      </c>
      <c r="W40" s="25"/>
      <c r="X40" s="25"/>
      <c r="Y40" s="25"/>
      <c r="Z40" s="25"/>
      <c r="AA40" s="27">
        <f>0</f>
        <v>0</v>
      </c>
      <c r="AB40" s="27"/>
      <c r="AC40" s="27"/>
    </row>
    <row r="41" spans="1:29" s="1" customFormat="1" ht="13.5" customHeight="1">
      <c r="A41" s="28" t="s">
        <v>10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s="1" customFormat="1" ht="13.5" customHeight="1">
      <c r="A42" s="12" t="s">
        <v>94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" customFormat="1" ht="34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 t="s">
        <v>23</v>
      </c>
      <c r="M43" s="13"/>
      <c r="N43" s="13"/>
      <c r="O43" s="13" t="s">
        <v>95</v>
      </c>
      <c r="P43" s="13"/>
      <c r="Q43" s="13"/>
      <c r="R43" s="14" t="s">
        <v>96</v>
      </c>
      <c r="S43" s="14"/>
      <c r="T43" s="14" t="s">
        <v>25</v>
      </c>
      <c r="U43" s="14"/>
      <c r="V43" s="14"/>
      <c r="W43" s="14" t="s">
        <v>26</v>
      </c>
      <c r="X43" s="14"/>
      <c r="Y43" s="14"/>
      <c r="Z43" s="14"/>
      <c r="AA43" s="14"/>
      <c r="AB43" s="15" t="s">
        <v>27</v>
      </c>
      <c r="AC43" s="15"/>
    </row>
    <row r="44" spans="1:29" s="1" customFormat="1" ht="13.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 t="s">
        <v>29</v>
      </c>
      <c r="M44" s="16"/>
      <c r="N44" s="16"/>
      <c r="O44" s="16" t="s">
        <v>30</v>
      </c>
      <c r="P44" s="16"/>
      <c r="Q44" s="16"/>
      <c r="R44" s="17" t="s">
        <v>31</v>
      </c>
      <c r="S44" s="17"/>
      <c r="T44" s="17" t="s">
        <v>32</v>
      </c>
      <c r="U44" s="17"/>
      <c r="V44" s="17"/>
      <c r="W44" s="17" t="s">
        <v>33</v>
      </c>
      <c r="X44" s="17"/>
      <c r="Y44" s="17"/>
      <c r="Z44" s="17"/>
      <c r="AA44" s="17"/>
      <c r="AB44" s="18" t="s">
        <v>97</v>
      </c>
      <c r="AC44" s="18"/>
    </row>
    <row r="45" spans="1:29" s="1" customFormat="1" ht="13.5" customHeight="1">
      <c r="A45" s="19" t="s">
        <v>98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 t="s">
        <v>99</v>
      </c>
      <c r="M45" s="20"/>
      <c r="N45" s="20"/>
      <c r="O45" s="20" t="s">
        <v>36</v>
      </c>
      <c r="P45" s="20"/>
      <c r="Q45" s="20"/>
      <c r="R45" s="29" t="s">
        <v>36</v>
      </c>
      <c r="S45" s="29"/>
      <c r="T45" s="21">
        <f>74288973.33</f>
        <v>74288973.33</v>
      </c>
      <c r="U45" s="21"/>
      <c r="V45" s="21"/>
      <c r="W45" s="21">
        <f>71044484.22</f>
        <v>71044484.22</v>
      </c>
      <c r="X45" s="21"/>
      <c r="Y45" s="21"/>
      <c r="Z45" s="21"/>
      <c r="AA45" s="21"/>
      <c r="AB45" s="30">
        <f>3244489.11</f>
        <v>3244489.11</v>
      </c>
      <c r="AC45" s="30"/>
    </row>
    <row r="46" spans="1:29" s="1" customFormat="1" ht="13.5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99</v>
      </c>
      <c r="M46" s="32"/>
      <c r="N46" s="32"/>
      <c r="O46" s="32" t="s">
        <v>101</v>
      </c>
      <c r="P46" s="32"/>
      <c r="Q46" s="32"/>
      <c r="R46" s="33" t="s">
        <v>102</v>
      </c>
      <c r="S46" s="33"/>
      <c r="T46" s="34">
        <f>1490395</f>
        <v>1490395</v>
      </c>
      <c r="U46" s="34"/>
      <c r="V46" s="34"/>
      <c r="W46" s="34">
        <f>1490395</f>
        <v>1490395</v>
      </c>
      <c r="X46" s="34"/>
      <c r="Y46" s="34"/>
      <c r="Z46" s="34"/>
      <c r="AA46" s="34"/>
      <c r="AB46" s="35">
        <f aca="true" t="shared" si="1" ref="AB46:AB55">0</f>
        <v>0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99</v>
      </c>
      <c r="M47" s="32"/>
      <c r="N47" s="32"/>
      <c r="O47" s="32" t="s">
        <v>104</v>
      </c>
      <c r="P47" s="32"/>
      <c r="Q47" s="32"/>
      <c r="R47" s="33" t="s">
        <v>105</v>
      </c>
      <c r="S47" s="33"/>
      <c r="T47" s="34">
        <f>430045.45</f>
        <v>430045.45</v>
      </c>
      <c r="U47" s="34"/>
      <c r="V47" s="34"/>
      <c r="W47" s="34">
        <f>430045.45</f>
        <v>430045.45</v>
      </c>
      <c r="X47" s="34"/>
      <c r="Y47" s="34"/>
      <c r="Z47" s="34"/>
      <c r="AA47" s="34"/>
      <c r="AB47" s="35">
        <f t="shared" si="1"/>
        <v>0</v>
      </c>
      <c r="AC47" s="35"/>
    </row>
    <row r="48" spans="1:29" s="1" customFormat="1" ht="13.5" customHeight="1">
      <c r="A48" s="31" t="s">
        <v>100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99</v>
      </c>
      <c r="M48" s="32"/>
      <c r="N48" s="32"/>
      <c r="O48" s="32" t="s">
        <v>106</v>
      </c>
      <c r="P48" s="32"/>
      <c r="Q48" s="32"/>
      <c r="R48" s="33" t="s">
        <v>102</v>
      </c>
      <c r="S48" s="33"/>
      <c r="T48" s="34">
        <f>7591910.51</f>
        <v>7591910.51</v>
      </c>
      <c r="U48" s="34"/>
      <c r="V48" s="34"/>
      <c r="W48" s="34">
        <f>7591910.51</f>
        <v>7591910.51</v>
      </c>
      <c r="X48" s="34"/>
      <c r="Y48" s="34"/>
      <c r="Z48" s="34"/>
      <c r="AA48" s="34"/>
      <c r="AB48" s="35">
        <f t="shared" si="1"/>
        <v>0</v>
      </c>
      <c r="AC48" s="35"/>
    </row>
    <row r="49" spans="1:29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99</v>
      </c>
      <c r="M49" s="32"/>
      <c r="N49" s="32"/>
      <c r="O49" s="32" t="s">
        <v>106</v>
      </c>
      <c r="P49" s="32"/>
      <c r="Q49" s="32"/>
      <c r="R49" s="33" t="s">
        <v>108</v>
      </c>
      <c r="S49" s="33"/>
      <c r="T49" s="34">
        <f>71172.03</f>
        <v>71172.03</v>
      </c>
      <c r="U49" s="34"/>
      <c r="V49" s="34"/>
      <c r="W49" s="34">
        <f>71172.03</f>
        <v>71172.03</v>
      </c>
      <c r="X49" s="34"/>
      <c r="Y49" s="34"/>
      <c r="Z49" s="34"/>
      <c r="AA49" s="34"/>
      <c r="AB49" s="35">
        <f t="shared" si="1"/>
        <v>0</v>
      </c>
      <c r="AC49" s="35"/>
    </row>
    <row r="50" spans="1:29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99</v>
      </c>
      <c r="M50" s="32"/>
      <c r="N50" s="32"/>
      <c r="O50" s="32" t="s">
        <v>110</v>
      </c>
      <c r="P50" s="32"/>
      <c r="Q50" s="32"/>
      <c r="R50" s="33" t="s">
        <v>111</v>
      </c>
      <c r="S50" s="33"/>
      <c r="T50" s="34">
        <f>2500</f>
        <v>2500</v>
      </c>
      <c r="U50" s="34"/>
      <c r="V50" s="34"/>
      <c r="W50" s="34">
        <f>2500</f>
        <v>2500</v>
      </c>
      <c r="X50" s="34"/>
      <c r="Y50" s="34"/>
      <c r="Z50" s="34"/>
      <c r="AA50" s="34"/>
      <c r="AB50" s="35">
        <f t="shared" si="1"/>
        <v>0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99</v>
      </c>
      <c r="M51" s="32"/>
      <c r="N51" s="32"/>
      <c r="O51" s="32" t="s">
        <v>110</v>
      </c>
      <c r="P51" s="32"/>
      <c r="Q51" s="32"/>
      <c r="R51" s="33" t="s">
        <v>113</v>
      </c>
      <c r="S51" s="33"/>
      <c r="T51" s="34">
        <f>101114.59</f>
        <v>101114.59</v>
      </c>
      <c r="U51" s="34"/>
      <c r="V51" s="34"/>
      <c r="W51" s="34">
        <f>101114.59</f>
        <v>101114.59</v>
      </c>
      <c r="X51" s="34"/>
      <c r="Y51" s="34"/>
      <c r="Z51" s="34"/>
      <c r="AA51" s="34"/>
      <c r="AB51" s="35">
        <f t="shared" si="1"/>
        <v>0</v>
      </c>
      <c r="AC51" s="35"/>
    </row>
    <row r="52" spans="1:29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99</v>
      </c>
      <c r="M52" s="32"/>
      <c r="N52" s="32"/>
      <c r="O52" s="32" t="s">
        <v>110</v>
      </c>
      <c r="P52" s="32"/>
      <c r="Q52" s="32"/>
      <c r="R52" s="33" t="s">
        <v>115</v>
      </c>
      <c r="S52" s="33"/>
      <c r="T52" s="34">
        <f>17754</f>
        <v>17754</v>
      </c>
      <c r="U52" s="34"/>
      <c r="V52" s="34"/>
      <c r="W52" s="34">
        <f>17754</f>
        <v>17754</v>
      </c>
      <c r="X52" s="34"/>
      <c r="Y52" s="34"/>
      <c r="Z52" s="34"/>
      <c r="AA52" s="34"/>
      <c r="AB52" s="35">
        <f t="shared" si="1"/>
        <v>0</v>
      </c>
      <c r="AC52" s="35"/>
    </row>
    <row r="53" spans="1:29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99</v>
      </c>
      <c r="M53" s="32"/>
      <c r="N53" s="32"/>
      <c r="O53" s="32" t="s">
        <v>110</v>
      </c>
      <c r="P53" s="32"/>
      <c r="Q53" s="32"/>
      <c r="R53" s="33" t="s">
        <v>117</v>
      </c>
      <c r="S53" s="33"/>
      <c r="T53" s="34">
        <f>82954</f>
        <v>82954</v>
      </c>
      <c r="U53" s="34"/>
      <c r="V53" s="34"/>
      <c r="W53" s="34">
        <f>82954</f>
        <v>82954</v>
      </c>
      <c r="X53" s="34"/>
      <c r="Y53" s="34"/>
      <c r="Z53" s="34"/>
      <c r="AA53" s="34"/>
      <c r="AB53" s="35">
        <f t="shared" si="1"/>
        <v>0</v>
      </c>
      <c r="AC53" s="35"/>
    </row>
    <row r="54" spans="1:29" s="1" customFormat="1" ht="13.5" customHeight="1">
      <c r="A54" s="31" t="s">
        <v>103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99</v>
      </c>
      <c r="M54" s="32"/>
      <c r="N54" s="32"/>
      <c r="O54" s="32" t="s">
        <v>118</v>
      </c>
      <c r="P54" s="32"/>
      <c r="Q54" s="32"/>
      <c r="R54" s="33" t="s">
        <v>105</v>
      </c>
      <c r="S54" s="33"/>
      <c r="T54" s="34">
        <f>2288226.07</f>
        <v>2288226.07</v>
      </c>
      <c r="U54" s="34"/>
      <c r="V54" s="34"/>
      <c r="W54" s="34">
        <f>2288226.07</f>
        <v>2288226.07</v>
      </c>
      <c r="X54" s="34"/>
      <c r="Y54" s="34"/>
      <c r="Z54" s="34"/>
      <c r="AA54" s="34"/>
      <c r="AB54" s="35">
        <f t="shared" si="1"/>
        <v>0</v>
      </c>
      <c r="AC54" s="35"/>
    </row>
    <row r="55" spans="1:29" s="1" customFormat="1" ht="24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99</v>
      </c>
      <c r="M55" s="32"/>
      <c r="N55" s="32"/>
      <c r="O55" s="32" t="s">
        <v>120</v>
      </c>
      <c r="P55" s="32"/>
      <c r="Q55" s="32"/>
      <c r="R55" s="33" t="s">
        <v>121</v>
      </c>
      <c r="S55" s="33"/>
      <c r="T55" s="34">
        <f>209379</f>
        <v>209379</v>
      </c>
      <c r="U55" s="34"/>
      <c r="V55" s="34"/>
      <c r="W55" s="34">
        <f>209379</f>
        <v>209379</v>
      </c>
      <c r="X55" s="34"/>
      <c r="Y55" s="34"/>
      <c r="Z55" s="34"/>
      <c r="AA55" s="34"/>
      <c r="AB55" s="35">
        <f t="shared" si="1"/>
        <v>0</v>
      </c>
      <c r="AC55" s="35"/>
    </row>
    <row r="56" spans="1:29" s="1" customFormat="1" ht="13.5" customHeight="1">
      <c r="A56" s="31" t="s">
        <v>122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99</v>
      </c>
      <c r="M56" s="32"/>
      <c r="N56" s="32"/>
      <c r="O56" s="32" t="s">
        <v>123</v>
      </c>
      <c r="P56" s="32"/>
      <c r="Q56" s="32"/>
      <c r="R56" s="33" t="s">
        <v>99</v>
      </c>
      <c r="S56" s="33"/>
      <c r="T56" s="34">
        <f>30000</f>
        <v>30000</v>
      </c>
      <c r="U56" s="34"/>
      <c r="V56" s="34"/>
      <c r="W56" s="36" t="s">
        <v>37</v>
      </c>
      <c r="X56" s="36"/>
      <c r="Y56" s="36"/>
      <c r="Z56" s="36"/>
      <c r="AA56" s="36"/>
      <c r="AB56" s="35">
        <f>30000</f>
        <v>30000</v>
      </c>
      <c r="AC56" s="35"/>
    </row>
    <row r="57" spans="1:29" s="1" customFormat="1" ht="13.5" customHeight="1">
      <c r="A57" s="31" t="s">
        <v>114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99</v>
      </c>
      <c r="M57" s="32"/>
      <c r="N57" s="32"/>
      <c r="O57" s="32" t="s">
        <v>124</v>
      </c>
      <c r="P57" s="32"/>
      <c r="Q57" s="32"/>
      <c r="R57" s="33" t="s">
        <v>115</v>
      </c>
      <c r="S57" s="33"/>
      <c r="T57" s="34">
        <f>22100</f>
        <v>22100</v>
      </c>
      <c r="U57" s="34"/>
      <c r="V57" s="34"/>
      <c r="W57" s="34">
        <f>21800</f>
        <v>21800</v>
      </c>
      <c r="X57" s="34"/>
      <c r="Y57" s="34"/>
      <c r="Z57" s="34"/>
      <c r="AA57" s="34"/>
      <c r="AB57" s="35">
        <f>300</f>
        <v>300</v>
      </c>
      <c r="AC57" s="35"/>
    </row>
    <row r="58" spans="1:29" s="1" customFormat="1" ht="13.5" customHeight="1">
      <c r="A58" s="31" t="s">
        <v>114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99</v>
      </c>
      <c r="M58" s="32"/>
      <c r="N58" s="32"/>
      <c r="O58" s="32" t="s">
        <v>125</v>
      </c>
      <c r="P58" s="32"/>
      <c r="Q58" s="32"/>
      <c r="R58" s="33" t="s">
        <v>115</v>
      </c>
      <c r="S58" s="33"/>
      <c r="T58" s="34">
        <f>61400</f>
        <v>61400</v>
      </c>
      <c r="U58" s="34"/>
      <c r="V58" s="34"/>
      <c r="W58" s="34">
        <f>61400</f>
        <v>61400</v>
      </c>
      <c r="X58" s="34"/>
      <c r="Y58" s="34"/>
      <c r="Z58" s="34"/>
      <c r="AA58" s="34"/>
      <c r="AB58" s="35">
        <f>0</f>
        <v>0</v>
      </c>
      <c r="AC58" s="35"/>
    </row>
    <row r="59" spans="1:29" s="1" customFormat="1" ht="13.5" customHeight="1">
      <c r="A59" s="31" t="s">
        <v>114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99</v>
      </c>
      <c r="M59" s="32"/>
      <c r="N59" s="32"/>
      <c r="O59" s="32" t="s">
        <v>126</v>
      </c>
      <c r="P59" s="32"/>
      <c r="Q59" s="32"/>
      <c r="R59" s="33" t="s">
        <v>115</v>
      </c>
      <c r="S59" s="33"/>
      <c r="T59" s="34">
        <f>467596</f>
        <v>467596</v>
      </c>
      <c r="U59" s="34"/>
      <c r="V59" s="34"/>
      <c r="W59" s="34">
        <f>442366.48</f>
        <v>442366.48</v>
      </c>
      <c r="X59" s="34"/>
      <c r="Y59" s="34"/>
      <c r="Z59" s="34"/>
      <c r="AA59" s="34"/>
      <c r="AB59" s="35">
        <f>25229.52</f>
        <v>25229.52</v>
      </c>
      <c r="AC59" s="35"/>
    </row>
    <row r="60" spans="1:29" s="1" customFormat="1" ht="13.5" customHeight="1">
      <c r="A60" s="31" t="s">
        <v>114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99</v>
      </c>
      <c r="M60" s="32"/>
      <c r="N60" s="32"/>
      <c r="O60" s="32" t="s">
        <v>127</v>
      </c>
      <c r="P60" s="32"/>
      <c r="Q60" s="32"/>
      <c r="R60" s="33" t="s">
        <v>115</v>
      </c>
      <c r="S60" s="33"/>
      <c r="T60" s="34">
        <f>30000</f>
        <v>30000</v>
      </c>
      <c r="U60" s="34"/>
      <c r="V60" s="34"/>
      <c r="W60" s="34">
        <f>23986.25</f>
        <v>23986.25</v>
      </c>
      <c r="X60" s="34"/>
      <c r="Y60" s="34"/>
      <c r="Z60" s="34"/>
      <c r="AA60" s="34"/>
      <c r="AB60" s="35">
        <f>6013.75</f>
        <v>6013.75</v>
      </c>
      <c r="AC60" s="35"/>
    </row>
    <row r="61" spans="1:29" s="1" customFormat="1" ht="13.5" customHeight="1">
      <c r="A61" s="31" t="s">
        <v>100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99</v>
      </c>
      <c r="M61" s="32"/>
      <c r="N61" s="32"/>
      <c r="O61" s="32" t="s">
        <v>128</v>
      </c>
      <c r="P61" s="32"/>
      <c r="Q61" s="32"/>
      <c r="R61" s="33" t="s">
        <v>102</v>
      </c>
      <c r="S61" s="33"/>
      <c r="T61" s="34">
        <f>7425709.8</f>
        <v>7425709.8</v>
      </c>
      <c r="U61" s="34"/>
      <c r="V61" s="34"/>
      <c r="W61" s="34">
        <f>7258195.49</f>
        <v>7258195.49</v>
      </c>
      <c r="X61" s="34"/>
      <c r="Y61" s="34"/>
      <c r="Z61" s="34"/>
      <c r="AA61" s="34"/>
      <c r="AB61" s="35">
        <f>167514.31</f>
        <v>167514.31</v>
      </c>
      <c r="AC61" s="35"/>
    </row>
    <row r="62" spans="1:29" s="1" customFormat="1" ht="13.5" customHeight="1">
      <c r="A62" s="31" t="s">
        <v>107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99</v>
      </c>
      <c r="M62" s="32"/>
      <c r="N62" s="32"/>
      <c r="O62" s="32" t="s">
        <v>128</v>
      </c>
      <c r="P62" s="32"/>
      <c r="Q62" s="32"/>
      <c r="R62" s="33" t="s">
        <v>108</v>
      </c>
      <c r="S62" s="33"/>
      <c r="T62" s="34">
        <f>50000</f>
        <v>50000</v>
      </c>
      <c r="U62" s="34"/>
      <c r="V62" s="34"/>
      <c r="W62" s="34">
        <f>47110.19</f>
        <v>47110.19</v>
      </c>
      <c r="X62" s="34"/>
      <c r="Y62" s="34"/>
      <c r="Z62" s="34"/>
      <c r="AA62" s="34"/>
      <c r="AB62" s="35">
        <f>2889.81</f>
        <v>2889.81</v>
      </c>
      <c r="AC62" s="35"/>
    </row>
    <row r="63" spans="1:29" s="1" customFormat="1" ht="13.5" customHeight="1">
      <c r="A63" s="31" t="s">
        <v>112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99</v>
      </c>
      <c r="M63" s="32"/>
      <c r="N63" s="32"/>
      <c r="O63" s="32" t="s">
        <v>129</v>
      </c>
      <c r="P63" s="32"/>
      <c r="Q63" s="32"/>
      <c r="R63" s="33" t="s">
        <v>113</v>
      </c>
      <c r="S63" s="33"/>
      <c r="T63" s="34">
        <f>216323.32</f>
        <v>216323.32</v>
      </c>
      <c r="U63" s="34"/>
      <c r="V63" s="34"/>
      <c r="W63" s="34">
        <f>216323.32</f>
        <v>216323.32</v>
      </c>
      <c r="X63" s="34"/>
      <c r="Y63" s="34"/>
      <c r="Z63" s="34"/>
      <c r="AA63" s="34"/>
      <c r="AB63" s="35">
        <f>0</f>
        <v>0</v>
      </c>
      <c r="AC63" s="35"/>
    </row>
    <row r="64" spans="1:29" s="1" customFormat="1" ht="13.5" customHeight="1">
      <c r="A64" s="31" t="s">
        <v>114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99</v>
      </c>
      <c r="M64" s="32"/>
      <c r="N64" s="32"/>
      <c r="O64" s="32" t="s">
        <v>129</v>
      </c>
      <c r="P64" s="32"/>
      <c r="Q64" s="32"/>
      <c r="R64" s="33" t="s">
        <v>115</v>
      </c>
      <c r="S64" s="33"/>
      <c r="T64" s="34">
        <f>2375</f>
        <v>2375</v>
      </c>
      <c r="U64" s="34"/>
      <c r="V64" s="34"/>
      <c r="W64" s="34">
        <f>2375</f>
        <v>2375</v>
      </c>
      <c r="X64" s="34"/>
      <c r="Y64" s="34"/>
      <c r="Z64" s="34"/>
      <c r="AA64" s="34"/>
      <c r="AB64" s="35">
        <f>0</f>
        <v>0</v>
      </c>
      <c r="AC64" s="35"/>
    </row>
    <row r="65" spans="1:29" s="1" customFormat="1" ht="13.5" customHeight="1">
      <c r="A65" s="31" t="s">
        <v>116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99</v>
      </c>
      <c r="M65" s="32"/>
      <c r="N65" s="32"/>
      <c r="O65" s="32" t="s">
        <v>129</v>
      </c>
      <c r="P65" s="32"/>
      <c r="Q65" s="32"/>
      <c r="R65" s="33" t="s">
        <v>117</v>
      </c>
      <c r="S65" s="33"/>
      <c r="T65" s="34">
        <f>52968.33</f>
        <v>52968.33</v>
      </c>
      <c r="U65" s="34"/>
      <c r="V65" s="34"/>
      <c r="W65" s="34">
        <f>52968.33</f>
        <v>52968.33</v>
      </c>
      <c r="X65" s="34"/>
      <c r="Y65" s="34"/>
      <c r="Z65" s="34"/>
      <c r="AA65" s="34"/>
      <c r="AB65" s="35">
        <f>0</f>
        <v>0</v>
      </c>
      <c r="AC65" s="35"/>
    </row>
    <row r="66" spans="1:29" s="1" customFormat="1" ht="13.5" customHeight="1">
      <c r="A66" s="31" t="s">
        <v>103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99</v>
      </c>
      <c r="M66" s="32"/>
      <c r="N66" s="32"/>
      <c r="O66" s="32" t="s">
        <v>130</v>
      </c>
      <c r="P66" s="32"/>
      <c r="Q66" s="32"/>
      <c r="R66" s="33" t="s">
        <v>105</v>
      </c>
      <c r="S66" s="33"/>
      <c r="T66" s="34">
        <f>2243010.51</f>
        <v>2243010.51</v>
      </c>
      <c r="U66" s="34"/>
      <c r="V66" s="34"/>
      <c r="W66" s="34">
        <f>2191975.11</f>
        <v>2191975.11</v>
      </c>
      <c r="X66" s="34"/>
      <c r="Y66" s="34"/>
      <c r="Z66" s="34"/>
      <c r="AA66" s="34"/>
      <c r="AB66" s="35">
        <f>51035.4</f>
        <v>51035.4</v>
      </c>
      <c r="AC66" s="35"/>
    </row>
    <row r="67" spans="1:29" s="1" customFormat="1" ht="13.5" customHeight="1">
      <c r="A67" s="31" t="s">
        <v>131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99</v>
      </c>
      <c r="M67" s="32"/>
      <c r="N67" s="32"/>
      <c r="O67" s="32" t="s">
        <v>132</v>
      </c>
      <c r="P67" s="32"/>
      <c r="Q67" s="32"/>
      <c r="R67" s="33" t="s">
        <v>133</v>
      </c>
      <c r="S67" s="33"/>
      <c r="T67" s="34">
        <f>41035.61</f>
        <v>41035.61</v>
      </c>
      <c r="U67" s="34"/>
      <c r="V67" s="34"/>
      <c r="W67" s="34">
        <f>38716.2</f>
        <v>38716.2</v>
      </c>
      <c r="X67" s="34"/>
      <c r="Y67" s="34"/>
      <c r="Z67" s="34"/>
      <c r="AA67" s="34"/>
      <c r="AB67" s="35">
        <f>2319.41</f>
        <v>2319.41</v>
      </c>
      <c r="AC67" s="35"/>
    </row>
    <row r="68" spans="1:29" s="1" customFormat="1" ht="13.5" customHeight="1">
      <c r="A68" s="31" t="s">
        <v>134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99</v>
      </c>
      <c r="M68" s="32"/>
      <c r="N68" s="32"/>
      <c r="O68" s="32" t="s">
        <v>132</v>
      </c>
      <c r="P68" s="32"/>
      <c r="Q68" s="32"/>
      <c r="R68" s="33" t="s">
        <v>135</v>
      </c>
      <c r="S68" s="33"/>
      <c r="T68" s="34">
        <f>18000</f>
        <v>18000</v>
      </c>
      <c r="U68" s="34"/>
      <c r="V68" s="34"/>
      <c r="W68" s="34">
        <f>18000</f>
        <v>18000</v>
      </c>
      <c r="X68" s="34"/>
      <c r="Y68" s="34"/>
      <c r="Z68" s="34"/>
      <c r="AA68" s="34"/>
      <c r="AB68" s="35">
        <f>0</f>
        <v>0</v>
      </c>
      <c r="AC68" s="35"/>
    </row>
    <row r="69" spans="1:29" s="1" customFormat="1" ht="13.5" customHeight="1">
      <c r="A69" s="31" t="s">
        <v>136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99</v>
      </c>
      <c r="M69" s="32"/>
      <c r="N69" s="32"/>
      <c r="O69" s="32" t="s">
        <v>132</v>
      </c>
      <c r="P69" s="32"/>
      <c r="Q69" s="32"/>
      <c r="R69" s="33" t="s">
        <v>137</v>
      </c>
      <c r="S69" s="33"/>
      <c r="T69" s="34">
        <f>14237.45</f>
        <v>14237.45</v>
      </c>
      <c r="U69" s="34"/>
      <c r="V69" s="34"/>
      <c r="W69" s="34">
        <f>11306.61</f>
        <v>11306.61</v>
      </c>
      <c r="X69" s="34"/>
      <c r="Y69" s="34"/>
      <c r="Z69" s="34"/>
      <c r="AA69" s="34"/>
      <c r="AB69" s="35">
        <f>2930.84</f>
        <v>2930.84</v>
      </c>
      <c r="AC69" s="35"/>
    </row>
    <row r="70" spans="1:29" s="1" customFormat="1" ht="13.5" customHeight="1">
      <c r="A70" s="31" t="s">
        <v>114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99</v>
      </c>
      <c r="M70" s="32"/>
      <c r="N70" s="32"/>
      <c r="O70" s="32" t="s">
        <v>132</v>
      </c>
      <c r="P70" s="32"/>
      <c r="Q70" s="32"/>
      <c r="R70" s="33" t="s">
        <v>115</v>
      </c>
      <c r="S70" s="33"/>
      <c r="T70" s="34">
        <f>63564</f>
        <v>63564</v>
      </c>
      <c r="U70" s="34"/>
      <c r="V70" s="34"/>
      <c r="W70" s="34">
        <f>57314</f>
        <v>57314</v>
      </c>
      <c r="X70" s="34"/>
      <c r="Y70" s="34"/>
      <c r="Z70" s="34"/>
      <c r="AA70" s="34"/>
      <c r="AB70" s="35">
        <f>6250</f>
        <v>6250</v>
      </c>
      <c r="AC70" s="35"/>
    </row>
    <row r="71" spans="1:29" s="1" customFormat="1" ht="24" customHeight="1">
      <c r="A71" s="31" t="s">
        <v>138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99</v>
      </c>
      <c r="M71" s="32"/>
      <c r="N71" s="32"/>
      <c r="O71" s="32" t="s">
        <v>132</v>
      </c>
      <c r="P71" s="32"/>
      <c r="Q71" s="32"/>
      <c r="R71" s="33" t="s">
        <v>139</v>
      </c>
      <c r="S71" s="33"/>
      <c r="T71" s="34">
        <f>3355.58</f>
        <v>3355.58</v>
      </c>
      <c r="U71" s="34"/>
      <c r="V71" s="34"/>
      <c r="W71" s="34">
        <f>3355.58</f>
        <v>3355.58</v>
      </c>
      <c r="X71" s="34"/>
      <c r="Y71" s="34"/>
      <c r="Z71" s="34"/>
      <c r="AA71" s="34"/>
      <c r="AB71" s="35">
        <f>0</f>
        <v>0</v>
      </c>
      <c r="AC71" s="35"/>
    </row>
    <row r="72" spans="1:29" s="1" customFormat="1" ht="13.5" customHeight="1">
      <c r="A72" s="31" t="s">
        <v>140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99</v>
      </c>
      <c r="M72" s="32"/>
      <c r="N72" s="32"/>
      <c r="O72" s="32" t="s">
        <v>132</v>
      </c>
      <c r="P72" s="32"/>
      <c r="Q72" s="32"/>
      <c r="R72" s="33" t="s">
        <v>141</v>
      </c>
      <c r="S72" s="33"/>
      <c r="T72" s="34">
        <f>251632.13</f>
        <v>251632.13</v>
      </c>
      <c r="U72" s="34"/>
      <c r="V72" s="34"/>
      <c r="W72" s="34">
        <f>241465.47</f>
        <v>241465.47</v>
      </c>
      <c r="X72" s="34"/>
      <c r="Y72" s="34"/>
      <c r="Z72" s="34"/>
      <c r="AA72" s="34"/>
      <c r="AB72" s="35">
        <f>10166.66</f>
        <v>10166.66</v>
      </c>
      <c r="AC72" s="35"/>
    </row>
    <row r="73" spans="1:29" s="1" customFormat="1" ht="13.5" customHeight="1">
      <c r="A73" s="31" t="s">
        <v>142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99</v>
      </c>
      <c r="M73" s="32"/>
      <c r="N73" s="32"/>
      <c r="O73" s="32" t="s">
        <v>132</v>
      </c>
      <c r="P73" s="32"/>
      <c r="Q73" s="32"/>
      <c r="R73" s="33" t="s">
        <v>143</v>
      </c>
      <c r="S73" s="33"/>
      <c r="T73" s="34">
        <f>43685</f>
        <v>43685</v>
      </c>
      <c r="U73" s="34"/>
      <c r="V73" s="34"/>
      <c r="W73" s="34">
        <f>43685</f>
        <v>43685</v>
      </c>
      <c r="X73" s="34"/>
      <c r="Y73" s="34"/>
      <c r="Z73" s="34"/>
      <c r="AA73" s="34"/>
      <c r="AB73" s="35">
        <f>0</f>
        <v>0</v>
      </c>
      <c r="AC73" s="35"/>
    </row>
    <row r="74" spans="1:29" s="1" customFormat="1" ht="13.5" customHeight="1">
      <c r="A74" s="31" t="s">
        <v>144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99</v>
      </c>
      <c r="M74" s="32"/>
      <c r="N74" s="32"/>
      <c r="O74" s="32" t="s">
        <v>132</v>
      </c>
      <c r="P74" s="32"/>
      <c r="Q74" s="32"/>
      <c r="R74" s="33" t="s">
        <v>145</v>
      </c>
      <c r="S74" s="33"/>
      <c r="T74" s="34">
        <f>180805.28</f>
        <v>180805.28</v>
      </c>
      <c r="U74" s="34"/>
      <c r="V74" s="34"/>
      <c r="W74" s="34">
        <f>119802.91</f>
        <v>119802.91</v>
      </c>
      <c r="X74" s="34"/>
      <c r="Y74" s="34"/>
      <c r="Z74" s="34"/>
      <c r="AA74" s="34"/>
      <c r="AB74" s="35">
        <f>61002.37</f>
        <v>61002.37</v>
      </c>
      <c r="AC74" s="35"/>
    </row>
    <row r="75" spans="1:29" s="1" customFormat="1" ht="13.5" customHeight="1">
      <c r="A75" s="31" t="s">
        <v>136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99</v>
      </c>
      <c r="M75" s="32"/>
      <c r="N75" s="32"/>
      <c r="O75" s="32" t="s">
        <v>146</v>
      </c>
      <c r="P75" s="32"/>
      <c r="Q75" s="32"/>
      <c r="R75" s="33" t="s">
        <v>137</v>
      </c>
      <c r="S75" s="33"/>
      <c r="T75" s="34">
        <f>395918.56</f>
        <v>395918.56</v>
      </c>
      <c r="U75" s="34"/>
      <c r="V75" s="34"/>
      <c r="W75" s="34">
        <f>374750.51</f>
        <v>374750.51</v>
      </c>
      <c r="X75" s="34"/>
      <c r="Y75" s="34"/>
      <c r="Z75" s="34"/>
      <c r="AA75" s="34"/>
      <c r="AB75" s="35">
        <f>21168.05</f>
        <v>21168.05</v>
      </c>
      <c r="AC75" s="35"/>
    </row>
    <row r="76" spans="1:29" s="1" customFormat="1" ht="13.5" customHeight="1">
      <c r="A76" s="31" t="s">
        <v>131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99</v>
      </c>
      <c r="M76" s="32"/>
      <c r="N76" s="32"/>
      <c r="O76" s="32" t="s">
        <v>147</v>
      </c>
      <c r="P76" s="32"/>
      <c r="Q76" s="32"/>
      <c r="R76" s="33" t="s">
        <v>133</v>
      </c>
      <c r="S76" s="33"/>
      <c r="T76" s="34">
        <f>122300</f>
        <v>122300</v>
      </c>
      <c r="U76" s="34"/>
      <c r="V76" s="34"/>
      <c r="W76" s="34">
        <f>116976.76</f>
        <v>116976.76</v>
      </c>
      <c r="X76" s="34"/>
      <c r="Y76" s="34"/>
      <c r="Z76" s="34"/>
      <c r="AA76" s="34"/>
      <c r="AB76" s="35">
        <f>5323.24</f>
        <v>5323.24</v>
      </c>
      <c r="AC76" s="35"/>
    </row>
    <row r="77" spans="1:29" s="1" customFormat="1" ht="13.5" customHeight="1">
      <c r="A77" s="31" t="s">
        <v>136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99</v>
      </c>
      <c r="M77" s="32"/>
      <c r="N77" s="32"/>
      <c r="O77" s="32" t="s">
        <v>147</v>
      </c>
      <c r="P77" s="32"/>
      <c r="Q77" s="32"/>
      <c r="R77" s="33" t="s">
        <v>137</v>
      </c>
      <c r="S77" s="33"/>
      <c r="T77" s="34">
        <f>6905.82</f>
        <v>6905.82</v>
      </c>
      <c r="U77" s="34"/>
      <c r="V77" s="34"/>
      <c r="W77" s="34">
        <f>6905.82</f>
        <v>6905.82</v>
      </c>
      <c r="X77" s="34"/>
      <c r="Y77" s="34"/>
      <c r="Z77" s="34"/>
      <c r="AA77" s="34"/>
      <c r="AB77" s="35">
        <f>0</f>
        <v>0</v>
      </c>
      <c r="AC77" s="35"/>
    </row>
    <row r="78" spans="1:29" s="1" customFormat="1" ht="13.5" customHeight="1">
      <c r="A78" s="31" t="s">
        <v>114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99</v>
      </c>
      <c r="M78" s="32"/>
      <c r="N78" s="32"/>
      <c r="O78" s="32" t="s">
        <v>147</v>
      </c>
      <c r="P78" s="32"/>
      <c r="Q78" s="32"/>
      <c r="R78" s="33" t="s">
        <v>115</v>
      </c>
      <c r="S78" s="33"/>
      <c r="T78" s="34">
        <f>83400</f>
        <v>83400</v>
      </c>
      <c r="U78" s="34"/>
      <c r="V78" s="34"/>
      <c r="W78" s="34">
        <f>71200</f>
        <v>71200</v>
      </c>
      <c r="X78" s="34"/>
      <c r="Y78" s="34"/>
      <c r="Z78" s="34"/>
      <c r="AA78" s="34"/>
      <c r="AB78" s="35">
        <f>12200</f>
        <v>12200</v>
      </c>
      <c r="AC78" s="35"/>
    </row>
    <row r="79" spans="1:29" s="1" customFormat="1" ht="13.5" customHeight="1">
      <c r="A79" s="31" t="s">
        <v>148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99</v>
      </c>
      <c r="M79" s="32"/>
      <c r="N79" s="32"/>
      <c r="O79" s="32" t="s">
        <v>147</v>
      </c>
      <c r="P79" s="32"/>
      <c r="Q79" s="32"/>
      <c r="R79" s="33" t="s">
        <v>149</v>
      </c>
      <c r="S79" s="33"/>
      <c r="T79" s="34">
        <f>16608.85</f>
        <v>16608.85</v>
      </c>
      <c r="U79" s="34"/>
      <c r="V79" s="34"/>
      <c r="W79" s="34">
        <f>16608.85</f>
        <v>16608.85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24" customHeight="1">
      <c r="A80" s="31" t="s">
        <v>138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99</v>
      </c>
      <c r="M80" s="32"/>
      <c r="N80" s="32"/>
      <c r="O80" s="32" t="s">
        <v>147</v>
      </c>
      <c r="P80" s="32"/>
      <c r="Q80" s="32"/>
      <c r="R80" s="33" t="s">
        <v>139</v>
      </c>
      <c r="S80" s="33"/>
      <c r="T80" s="34">
        <f>3848.12</f>
        <v>3848.12</v>
      </c>
      <c r="U80" s="34"/>
      <c r="V80" s="34"/>
      <c r="W80" s="34">
        <f>3848.12</f>
        <v>3848.12</v>
      </c>
      <c r="X80" s="34"/>
      <c r="Y80" s="34"/>
      <c r="Z80" s="34"/>
      <c r="AA80" s="34"/>
      <c r="AB80" s="35">
        <f>0</f>
        <v>0</v>
      </c>
      <c r="AC80" s="35"/>
    </row>
    <row r="81" spans="1:29" s="1" customFormat="1" ht="13.5" customHeight="1">
      <c r="A81" s="31" t="s">
        <v>144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99</v>
      </c>
      <c r="M81" s="32"/>
      <c r="N81" s="32"/>
      <c r="O81" s="32" t="s">
        <v>147</v>
      </c>
      <c r="P81" s="32"/>
      <c r="Q81" s="32"/>
      <c r="R81" s="33" t="s">
        <v>145</v>
      </c>
      <c r="S81" s="33"/>
      <c r="T81" s="34">
        <f>350000</f>
        <v>350000</v>
      </c>
      <c r="U81" s="34"/>
      <c r="V81" s="34"/>
      <c r="W81" s="34">
        <f>350000</f>
        <v>350000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13.5" customHeight="1">
      <c r="A82" s="31" t="s">
        <v>136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99</v>
      </c>
      <c r="M82" s="32"/>
      <c r="N82" s="32"/>
      <c r="O82" s="32" t="s">
        <v>150</v>
      </c>
      <c r="P82" s="32"/>
      <c r="Q82" s="32"/>
      <c r="R82" s="33" t="s">
        <v>137</v>
      </c>
      <c r="S82" s="33"/>
      <c r="T82" s="34">
        <f>107484.28</f>
        <v>107484.28</v>
      </c>
      <c r="U82" s="34"/>
      <c r="V82" s="34"/>
      <c r="W82" s="34">
        <f>107484.28</f>
        <v>107484.28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151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99</v>
      </c>
      <c r="M83" s="32"/>
      <c r="N83" s="32"/>
      <c r="O83" s="32" t="s">
        <v>152</v>
      </c>
      <c r="P83" s="32"/>
      <c r="Q83" s="32"/>
      <c r="R83" s="33" t="s">
        <v>153</v>
      </c>
      <c r="S83" s="33"/>
      <c r="T83" s="34">
        <f>23200</f>
        <v>23200</v>
      </c>
      <c r="U83" s="34"/>
      <c r="V83" s="34"/>
      <c r="W83" s="34">
        <f>23186.42</f>
        <v>23186.42</v>
      </c>
      <c r="X83" s="34"/>
      <c r="Y83" s="34"/>
      <c r="Z83" s="34"/>
      <c r="AA83" s="34"/>
      <c r="AB83" s="35">
        <f>13.58</f>
        <v>13.58</v>
      </c>
      <c r="AC83" s="35"/>
    </row>
    <row r="84" spans="1:29" s="1" customFormat="1" ht="13.5" customHeight="1">
      <c r="A84" s="31" t="s">
        <v>154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99</v>
      </c>
      <c r="M84" s="32"/>
      <c r="N84" s="32"/>
      <c r="O84" s="32" t="s">
        <v>155</v>
      </c>
      <c r="P84" s="32"/>
      <c r="Q84" s="32"/>
      <c r="R84" s="33" t="s">
        <v>156</v>
      </c>
      <c r="S84" s="33"/>
      <c r="T84" s="34">
        <f>10889.98</f>
        <v>10889.98</v>
      </c>
      <c r="U84" s="34"/>
      <c r="V84" s="34"/>
      <c r="W84" s="34">
        <f>10889.96</f>
        <v>10889.96</v>
      </c>
      <c r="X84" s="34"/>
      <c r="Y84" s="34"/>
      <c r="Z84" s="34"/>
      <c r="AA84" s="34"/>
      <c r="AB84" s="35">
        <f>0.02</f>
        <v>0.02</v>
      </c>
      <c r="AC84" s="35"/>
    </row>
    <row r="85" spans="1:29" s="1" customFormat="1" ht="13.5" customHeight="1">
      <c r="A85" s="31" t="s">
        <v>157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99</v>
      </c>
      <c r="M85" s="32"/>
      <c r="N85" s="32"/>
      <c r="O85" s="32" t="s">
        <v>155</v>
      </c>
      <c r="P85" s="32"/>
      <c r="Q85" s="32"/>
      <c r="R85" s="33" t="s">
        <v>158</v>
      </c>
      <c r="S85" s="33"/>
      <c r="T85" s="34">
        <f>300</f>
        <v>300</v>
      </c>
      <c r="U85" s="34"/>
      <c r="V85" s="34"/>
      <c r="W85" s="34">
        <f>300</f>
        <v>300</v>
      </c>
      <c r="X85" s="34"/>
      <c r="Y85" s="34"/>
      <c r="Z85" s="34"/>
      <c r="AA85" s="34"/>
      <c r="AB85" s="35">
        <f aca="true" t="shared" si="2" ref="AB85:AB97">0</f>
        <v>0</v>
      </c>
      <c r="AC85" s="35"/>
    </row>
    <row r="86" spans="1:29" s="1" customFormat="1" ht="13.5" customHeight="1">
      <c r="A86" s="31" t="s">
        <v>159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99</v>
      </c>
      <c r="M86" s="32"/>
      <c r="N86" s="32"/>
      <c r="O86" s="32" t="s">
        <v>155</v>
      </c>
      <c r="P86" s="32"/>
      <c r="Q86" s="32"/>
      <c r="R86" s="33" t="s">
        <v>160</v>
      </c>
      <c r="S86" s="33"/>
      <c r="T86" s="34">
        <f>4537.44</f>
        <v>4537.44</v>
      </c>
      <c r="U86" s="34"/>
      <c r="V86" s="34"/>
      <c r="W86" s="34">
        <f>4537.44</f>
        <v>4537.44</v>
      </c>
      <c r="X86" s="34"/>
      <c r="Y86" s="34"/>
      <c r="Z86" s="34"/>
      <c r="AA86" s="34"/>
      <c r="AB86" s="35">
        <f t="shared" si="2"/>
        <v>0</v>
      </c>
      <c r="AC86" s="35"/>
    </row>
    <row r="87" spans="1:29" s="1" customFormat="1" ht="13.5" customHeight="1">
      <c r="A87" s="31" t="s">
        <v>151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99</v>
      </c>
      <c r="M87" s="32"/>
      <c r="N87" s="32"/>
      <c r="O87" s="32" t="s">
        <v>161</v>
      </c>
      <c r="P87" s="32"/>
      <c r="Q87" s="32"/>
      <c r="R87" s="33" t="s">
        <v>153</v>
      </c>
      <c r="S87" s="33"/>
      <c r="T87" s="34">
        <f>250</f>
        <v>250</v>
      </c>
      <c r="U87" s="34"/>
      <c r="V87" s="34"/>
      <c r="W87" s="34">
        <f>250</f>
        <v>250</v>
      </c>
      <c r="X87" s="34"/>
      <c r="Y87" s="34"/>
      <c r="Z87" s="34"/>
      <c r="AA87" s="34"/>
      <c r="AB87" s="35">
        <f t="shared" si="2"/>
        <v>0</v>
      </c>
      <c r="AC87" s="35"/>
    </row>
    <row r="88" spans="1:29" s="1" customFormat="1" ht="13.5" customHeight="1">
      <c r="A88" s="31" t="s">
        <v>151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99</v>
      </c>
      <c r="M88" s="32"/>
      <c r="N88" s="32"/>
      <c r="O88" s="32" t="s">
        <v>162</v>
      </c>
      <c r="P88" s="32"/>
      <c r="Q88" s="32"/>
      <c r="R88" s="33" t="s">
        <v>153</v>
      </c>
      <c r="S88" s="33"/>
      <c r="T88" s="34">
        <f>37500</f>
        <v>37500</v>
      </c>
      <c r="U88" s="34"/>
      <c r="V88" s="34"/>
      <c r="W88" s="34">
        <f>37500</f>
        <v>37500</v>
      </c>
      <c r="X88" s="34"/>
      <c r="Y88" s="34"/>
      <c r="Z88" s="34"/>
      <c r="AA88" s="34"/>
      <c r="AB88" s="35">
        <f t="shared" si="2"/>
        <v>0</v>
      </c>
      <c r="AC88" s="35"/>
    </row>
    <row r="89" spans="1:29" s="1" customFormat="1" ht="13.5" customHeight="1">
      <c r="A89" s="31" t="s">
        <v>154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99</v>
      </c>
      <c r="M89" s="32"/>
      <c r="N89" s="32"/>
      <c r="O89" s="32" t="s">
        <v>162</v>
      </c>
      <c r="P89" s="32"/>
      <c r="Q89" s="32"/>
      <c r="R89" s="33" t="s">
        <v>156</v>
      </c>
      <c r="S89" s="33"/>
      <c r="T89" s="34">
        <f>350000</f>
        <v>350000</v>
      </c>
      <c r="U89" s="34"/>
      <c r="V89" s="34"/>
      <c r="W89" s="34">
        <f>350000</f>
        <v>350000</v>
      </c>
      <c r="X89" s="34"/>
      <c r="Y89" s="34"/>
      <c r="Z89" s="34"/>
      <c r="AA89" s="34"/>
      <c r="AB89" s="35">
        <f t="shared" si="2"/>
        <v>0</v>
      </c>
      <c r="AC89" s="35"/>
    </row>
    <row r="90" spans="1:29" s="1" customFormat="1" ht="13.5" customHeight="1">
      <c r="A90" s="31" t="s">
        <v>159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99</v>
      </c>
      <c r="M90" s="32"/>
      <c r="N90" s="32"/>
      <c r="O90" s="32" t="s">
        <v>162</v>
      </c>
      <c r="P90" s="32"/>
      <c r="Q90" s="32"/>
      <c r="R90" s="33" t="s">
        <v>160</v>
      </c>
      <c r="S90" s="33"/>
      <c r="T90" s="34">
        <f>75000</f>
        <v>75000</v>
      </c>
      <c r="U90" s="34"/>
      <c r="V90" s="34"/>
      <c r="W90" s="34">
        <f>75000</f>
        <v>75000</v>
      </c>
      <c r="X90" s="34"/>
      <c r="Y90" s="34"/>
      <c r="Z90" s="34"/>
      <c r="AA90" s="34"/>
      <c r="AB90" s="35">
        <f t="shared" si="2"/>
        <v>0</v>
      </c>
      <c r="AC90" s="35"/>
    </row>
    <row r="91" spans="1:29" s="1" customFormat="1" ht="13.5" customHeight="1">
      <c r="A91" s="31" t="s">
        <v>100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99</v>
      </c>
      <c r="M91" s="32"/>
      <c r="N91" s="32"/>
      <c r="O91" s="32" t="s">
        <v>163</v>
      </c>
      <c r="P91" s="32"/>
      <c r="Q91" s="32"/>
      <c r="R91" s="33" t="s">
        <v>102</v>
      </c>
      <c r="S91" s="33"/>
      <c r="T91" s="34">
        <f>400354.38</f>
        <v>400354.38</v>
      </c>
      <c r="U91" s="34"/>
      <c r="V91" s="34"/>
      <c r="W91" s="34">
        <f>400354.38</f>
        <v>400354.38</v>
      </c>
      <c r="X91" s="34"/>
      <c r="Y91" s="34"/>
      <c r="Z91" s="34"/>
      <c r="AA91" s="34"/>
      <c r="AB91" s="35">
        <f t="shared" si="2"/>
        <v>0</v>
      </c>
      <c r="AC91" s="35"/>
    </row>
    <row r="92" spans="1:29" s="1" customFormat="1" ht="13.5" customHeight="1">
      <c r="A92" s="31" t="s">
        <v>114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99</v>
      </c>
      <c r="M92" s="32"/>
      <c r="N92" s="32"/>
      <c r="O92" s="32" t="s">
        <v>164</v>
      </c>
      <c r="P92" s="32"/>
      <c r="Q92" s="32"/>
      <c r="R92" s="33" t="s">
        <v>115</v>
      </c>
      <c r="S92" s="33"/>
      <c r="T92" s="34">
        <f>2238.6</f>
        <v>2238.6</v>
      </c>
      <c r="U92" s="34"/>
      <c r="V92" s="34"/>
      <c r="W92" s="34">
        <f>2238.6</f>
        <v>2238.6</v>
      </c>
      <c r="X92" s="34"/>
      <c r="Y92" s="34"/>
      <c r="Z92" s="34"/>
      <c r="AA92" s="34"/>
      <c r="AB92" s="35">
        <f t="shared" si="2"/>
        <v>0</v>
      </c>
      <c r="AC92" s="35"/>
    </row>
    <row r="93" spans="1:29" s="1" customFormat="1" ht="13.5" customHeight="1">
      <c r="A93" s="31" t="s">
        <v>103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99</v>
      </c>
      <c r="M93" s="32"/>
      <c r="N93" s="32"/>
      <c r="O93" s="32" t="s">
        <v>165</v>
      </c>
      <c r="P93" s="32"/>
      <c r="Q93" s="32"/>
      <c r="R93" s="33" t="s">
        <v>105</v>
      </c>
      <c r="S93" s="33"/>
      <c r="T93" s="34">
        <f>120907.02</f>
        <v>120907.02</v>
      </c>
      <c r="U93" s="34"/>
      <c r="V93" s="34"/>
      <c r="W93" s="34">
        <f>120907.02</f>
        <v>120907.02</v>
      </c>
      <c r="X93" s="34"/>
      <c r="Y93" s="34"/>
      <c r="Z93" s="34"/>
      <c r="AA93" s="34"/>
      <c r="AB93" s="35">
        <f t="shared" si="2"/>
        <v>0</v>
      </c>
      <c r="AC93" s="35"/>
    </row>
    <row r="94" spans="1:29" s="1" customFormat="1" ht="13.5" customHeight="1">
      <c r="A94" s="31" t="s">
        <v>100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99</v>
      </c>
      <c r="M94" s="32"/>
      <c r="N94" s="32"/>
      <c r="O94" s="32" t="s">
        <v>166</v>
      </c>
      <c r="P94" s="32"/>
      <c r="Q94" s="32"/>
      <c r="R94" s="33" t="s">
        <v>102</v>
      </c>
      <c r="S94" s="33"/>
      <c r="T94" s="34">
        <f>49477.49</f>
        <v>49477.49</v>
      </c>
      <c r="U94" s="34"/>
      <c r="V94" s="34"/>
      <c r="W94" s="34">
        <f>49477.49</f>
        <v>49477.49</v>
      </c>
      <c r="X94" s="34"/>
      <c r="Y94" s="34"/>
      <c r="Z94" s="34"/>
      <c r="AA94" s="34"/>
      <c r="AB94" s="35">
        <f t="shared" si="2"/>
        <v>0</v>
      </c>
      <c r="AC94" s="35"/>
    </row>
    <row r="95" spans="1:29" s="1" customFormat="1" ht="13.5" customHeight="1">
      <c r="A95" s="31" t="s">
        <v>103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99</v>
      </c>
      <c r="M95" s="32"/>
      <c r="N95" s="32"/>
      <c r="O95" s="32" t="s">
        <v>167</v>
      </c>
      <c r="P95" s="32"/>
      <c r="Q95" s="32"/>
      <c r="R95" s="33" t="s">
        <v>105</v>
      </c>
      <c r="S95" s="33"/>
      <c r="T95" s="34">
        <f>14942.2</f>
        <v>14942.2</v>
      </c>
      <c r="U95" s="34"/>
      <c r="V95" s="34"/>
      <c r="W95" s="34">
        <f>14942.2</f>
        <v>14942.2</v>
      </c>
      <c r="X95" s="34"/>
      <c r="Y95" s="34"/>
      <c r="Z95" s="34"/>
      <c r="AA95" s="34"/>
      <c r="AB95" s="35">
        <f t="shared" si="2"/>
        <v>0</v>
      </c>
      <c r="AC95" s="35"/>
    </row>
    <row r="96" spans="1:29" s="1" customFormat="1" ht="13.5" customHeight="1">
      <c r="A96" s="31" t="s">
        <v>100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99</v>
      </c>
      <c r="M96" s="32"/>
      <c r="N96" s="32"/>
      <c r="O96" s="32" t="s">
        <v>168</v>
      </c>
      <c r="P96" s="32"/>
      <c r="Q96" s="32"/>
      <c r="R96" s="33" t="s">
        <v>102</v>
      </c>
      <c r="S96" s="33"/>
      <c r="T96" s="34">
        <f>15207.24</f>
        <v>15207.24</v>
      </c>
      <c r="U96" s="34"/>
      <c r="V96" s="34"/>
      <c r="W96" s="34">
        <f>15207.24</f>
        <v>15207.24</v>
      </c>
      <c r="X96" s="34"/>
      <c r="Y96" s="34"/>
      <c r="Z96" s="34"/>
      <c r="AA96" s="34"/>
      <c r="AB96" s="35">
        <f t="shared" si="2"/>
        <v>0</v>
      </c>
      <c r="AC96" s="35"/>
    </row>
    <row r="97" spans="1:29" s="1" customFormat="1" ht="13.5" customHeight="1">
      <c r="A97" s="31" t="s">
        <v>103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99</v>
      </c>
      <c r="M97" s="32"/>
      <c r="N97" s="32"/>
      <c r="O97" s="32" t="s">
        <v>169</v>
      </c>
      <c r="P97" s="32"/>
      <c r="Q97" s="32"/>
      <c r="R97" s="33" t="s">
        <v>105</v>
      </c>
      <c r="S97" s="33"/>
      <c r="T97" s="34">
        <f>4592.58</f>
        <v>4592.58</v>
      </c>
      <c r="U97" s="34"/>
      <c r="V97" s="34"/>
      <c r="W97" s="34">
        <f>4592.58</f>
        <v>4592.58</v>
      </c>
      <c r="X97" s="34"/>
      <c r="Y97" s="34"/>
      <c r="Z97" s="34"/>
      <c r="AA97" s="34"/>
      <c r="AB97" s="35">
        <f t="shared" si="2"/>
        <v>0</v>
      </c>
      <c r="AC97" s="35"/>
    </row>
    <row r="98" spans="1:29" s="1" customFormat="1" ht="13.5" customHeight="1">
      <c r="A98" s="31" t="s">
        <v>170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99</v>
      </c>
      <c r="M98" s="32"/>
      <c r="N98" s="32"/>
      <c r="O98" s="32" t="s">
        <v>171</v>
      </c>
      <c r="P98" s="32"/>
      <c r="Q98" s="32"/>
      <c r="R98" s="33" t="s">
        <v>172</v>
      </c>
      <c r="S98" s="33"/>
      <c r="T98" s="34">
        <f>300000</f>
        <v>300000</v>
      </c>
      <c r="U98" s="34"/>
      <c r="V98" s="34"/>
      <c r="W98" s="34">
        <f>160000</f>
        <v>160000</v>
      </c>
      <c r="X98" s="34"/>
      <c r="Y98" s="34"/>
      <c r="Z98" s="34"/>
      <c r="AA98" s="34"/>
      <c r="AB98" s="35">
        <f>140000</f>
        <v>140000</v>
      </c>
      <c r="AC98" s="35"/>
    </row>
    <row r="99" spans="1:29" s="1" customFormat="1" ht="24" customHeight="1">
      <c r="A99" s="31" t="s">
        <v>173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99</v>
      </c>
      <c r="M99" s="32"/>
      <c r="N99" s="32"/>
      <c r="O99" s="32" t="s">
        <v>174</v>
      </c>
      <c r="P99" s="32"/>
      <c r="Q99" s="32"/>
      <c r="R99" s="33" t="s">
        <v>175</v>
      </c>
      <c r="S99" s="33"/>
      <c r="T99" s="34">
        <f>10000</f>
        <v>10000</v>
      </c>
      <c r="U99" s="34"/>
      <c r="V99" s="34"/>
      <c r="W99" s="34">
        <f>10000</f>
        <v>10000</v>
      </c>
      <c r="X99" s="34"/>
      <c r="Y99" s="34"/>
      <c r="Z99" s="34"/>
      <c r="AA99" s="34"/>
      <c r="AB99" s="35">
        <f aca="true" t="shared" si="3" ref="AB99:AB107">0</f>
        <v>0</v>
      </c>
      <c r="AC99" s="35"/>
    </row>
    <row r="100" spans="1:29" s="1" customFormat="1" ht="24" customHeight="1">
      <c r="A100" s="31" t="s">
        <v>173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99</v>
      </c>
      <c r="M100" s="32"/>
      <c r="N100" s="32"/>
      <c r="O100" s="32" t="s">
        <v>176</v>
      </c>
      <c r="P100" s="32"/>
      <c r="Q100" s="32"/>
      <c r="R100" s="33" t="s">
        <v>175</v>
      </c>
      <c r="S100" s="33"/>
      <c r="T100" s="34">
        <f>10000</f>
        <v>10000</v>
      </c>
      <c r="U100" s="34"/>
      <c r="V100" s="34"/>
      <c r="W100" s="34">
        <f>10000</f>
        <v>10000</v>
      </c>
      <c r="X100" s="34"/>
      <c r="Y100" s="34"/>
      <c r="Z100" s="34"/>
      <c r="AA100" s="34"/>
      <c r="AB100" s="35">
        <f t="shared" si="3"/>
        <v>0</v>
      </c>
      <c r="AC100" s="35"/>
    </row>
    <row r="101" spans="1:29" s="1" customFormat="1" ht="13.5" customHeight="1">
      <c r="A101" s="31" t="s">
        <v>114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99</v>
      </c>
      <c r="M101" s="32"/>
      <c r="N101" s="32"/>
      <c r="O101" s="32" t="s">
        <v>177</v>
      </c>
      <c r="P101" s="32"/>
      <c r="Q101" s="32"/>
      <c r="R101" s="33" t="s">
        <v>115</v>
      </c>
      <c r="S101" s="33"/>
      <c r="T101" s="34">
        <f>18160</f>
        <v>18160</v>
      </c>
      <c r="U101" s="34"/>
      <c r="V101" s="34"/>
      <c r="W101" s="34">
        <f>18160</f>
        <v>18160</v>
      </c>
      <c r="X101" s="34"/>
      <c r="Y101" s="34"/>
      <c r="Z101" s="34"/>
      <c r="AA101" s="34"/>
      <c r="AB101" s="35">
        <f t="shared" si="3"/>
        <v>0</v>
      </c>
      <c r="AC101" s="35"/>
    </row>
    <row r="102" spans="1:29" s="1" customFormat="1" ht="13.5" customHeight="1">
      <c r="A102" s="31" t="s">
        <v>148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99</v>
      </c>
      <c r="M102" s="32"/>
      <c r="N102" s="32"/>
      <c r="O102" s="32" t="s">
        <v>178</v>
      </c>
      <c r="P102" s="32"/>
      <c r="Q102" s="32"/>
      <c r="R102" s="33" t="s">
        <v>149</v>
      </c>
      <c r="S102" s="33"/>
      <c r="T102" s="34">
        <f>960</f>
        <v>960</v>
      </c>
      <c r="U102" s="34"/>
      <c r="V102" s="34"/>
      <c r="W102" s="34">
        <f>960</f>
        <v>960</v>
      </c>
      <c r="X102" s="34"/>
      <c r="Y102" s="34"/>
      <c r="Z102" s="34"/>
      <c r="AA102" s="34"/>
      <c r="AB102" s="35">
        <f t="shared" si="3"/>
        <v>0</v>
      </c>
      <c r="AC102" s="35"/>
    </row>
    <row r="103" spans="1:29" s="1" customFormat="1" ht="13.5" customHeight="1">
      <c r="A103" s="31" t="s">
        <v>114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99</v>
      </c>
      <c r="M103" s="32"/>
      <c r="N103" s="32"/>
      <c r="O103" s="32" t="s">
        <v>179</v>
      </c>
      <c r="P103" s="32"/>
      <c r="Q103" s="32"/>
      <c r="R103" s="33" t="s">
        <v>115</v>
      </c>
      <c r="S103" s="33"/>
      <c r="T103" s="34">
        <f>4540</f>
        <v>4540</v>
      </c>
      <c r="U103" s="34"/>
      <c r="V103" s="34"/>
      <c r="W103" s="34">
        <f>4540</f>
        <v>4540</v>
      </c>
      <c r="X103" s="34"/>
      <c r="Y103" s="34"/>
      <c r="Z103" s="34"/>
      <c r="AA103" s="34"/>
      <c r="AB103" s="35">
        <f t="shared" si="3"/>
        <v>0</v>
      </c>
      <c r="AC103" s="35"/>
    </row>
    <row r="104" spans="1:29" s="1" customFormat="1" ht="13.5" customHeight="1">
      <c r="A104" s="31" t="s">
        <v>148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99</v>
      </c>
      <c r="M104" s="32"/>
      <c r="N104" s="32"/>
      <c r="O104" s="32" t="s">
        <v>180</v>
      </c>
      <c r="P104" s="32"/>
      <c r="Q104" s="32"/>
      <c r="R104" s="33" t="s">
        <v>149</v>
      </c>
      <c r="S104" s="33"/>
      <c r="T104" s="34">
        <f>240</f>
        <v>240</v>
      </c>
      <c r="U104" s="34"/>
      <c r="V104" s="34"/>
      <c r="W104" s="34">
        <f>240</f>
        <v>240</v>
      </c>
      <c r="X104" s="34"/>
      <c r="Y104" s="34"/>
      <c r="Z104" s="34"/>
      <c r="AA104" s="34"/>
      <c r="AB104" s="35">
        <f t="shared" si="3"/>
        <v>0</v>
      </c>
      <c r="AC104" s="35"/>
    </row>
    <row r="105" spans="1:29" s="1" customFormat="1" ht="13.5" customHeight="1">
      <c r="A105" s="31" t="s">
        <v>100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99</v>
      </c>
      <c r="M105" s="32"/>
      <c r="N105" s="32"/>
      <c r="O105" s="32" t="s">
        <v>181</v>
      </c>
      <c r="P105" s="32"/>
      <c r="Q105" s="32"/>
      <c r="R105" s="33" t="s">
        <v>102</v>
      </c>
      <c r="S105" s="33"/>
      <c r="T105" s="34">
        <f>96247.84</f>
        <v>96247.84</v>
      </c>
      <c r="U105" s="34"/>
      <c r="V105" s="34"/>
      <c r="W105" s="34">
        <f>96247.84</f>
        <v>96247.84</v>
      </c>
      <c r="X105" s="34"/>
      <c r="Y105" s="34"/>
      <c r="Z105" s="34"/>
      <c r="AA105" s="34"/>
      <c r="AB105" s="35">
        <f t="shared" si="3"/>
        <v>0</v>
      </c>
      <c r="AC105" s="35"/>
    </row>
    <row r="106" spans="1:29" s="1" customFormat="1" ht="13.5" customHeight="1">
      <c r="A106" s="31" t="s">
        <v>103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99</v>
      </c>
      <c r="M106" s="32"/>
      <c r="N106" s="32"/>
      <c r="O106" s="32" t="s">
        <v>182</v>
      </c>
      <c r="P106" s="32"/>
      <c r="Q106" s="32"/>
      <c r="R106" s="33" t="s">
        <v>105</v>
      </c>
      <c r="S106" s="33"/>
      <c r="T106" s="34">
        <f>29066.63</f>
        <v>29066.63</v>
      </c>
      <c r="U106" s="34"/>
      <c r="V106" s="34"/>
      <c r="W106" s="34">
        <f>29066.63</f>
        <v>29066.63</v>
      </c>
      <c r="X106" s="34"/>
      <c r="Y106" s="34"/>
      <c r="Z106" s="34"/>
      <c r="AA106" s="34"/>
      <c r="AB106" s="35">
        <f t="shared" si="3"/>
        <v>0</v>
      </c>
      <c r="AC106" s="35"/>
    </row>
    <row r="107" spans="1:29" s="1" customFormat="1" ht="13.5" customHeight="1">
      <c r="A107" s="31" t="s">
        <v>114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99</v>
      </c>
      <c r="M107" s="32"/>
      <c r="N107" s="32"/>
      <c r="O107" s="32" t="s">
        <v>183</v>
      </c>
      <c r="P107" s="32"/>
      <c r="Q107" s="32"/>
      <c r="R107" s="33" t="s">
        <v>115</v>
      </c>
      <c r="S107" s="33"/>
      <c r="T107" s="34">
        <f>3000</f>
        <v>3000</v>
      </c>
      <c r="U107" s="34"/>
      <c r="V107" s="34"/>
      <c r="W107" s="34">
        <f>3000</f>
        <v>3000</v>
      </c>
      <c r="X107" s="34"/>
      <c r="Y107" s="34"/>
      <c r="Z107" s="34"/>
      <c r="AA107" s="34"/>
      <c r="AB107" s="35">
        <f t="shared" si="3"/>
        <v>0</v>
      </c>
      <c r="AC107" s="35"/>
    </row>
    <row r="108" spans="1:29" s="1" customFormat="1" ht="13.5" customHeight="1">
      <c r="A108" s="31" t="s">
        <v>100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99</v>
      </c>
      <c r="M108" s="32"/>
      <c r="N108" s="32"/>
      <c r="O108" s="32" t="s">
        <v>184</v>
      </c>
      <c r="P108" s="32"/>
      <c r="Q108" s="32"/>
      <c r="R108" s="33" t="s">
        <v>102</v>
      </c>
      <c r="S108" s="33"/>
      <c r="T108" s="34">
        <f>704617.95</f>
        <v>704617.95</v>
      </c>
      <c r="U108" s="34"/>
      <c r="V108" s="34"/>
      <c r="W108" s="34">
        <f>504617.89</f>
        <v>504617.89</v>
      </c>
      <c r="X108" s="34"/>
      <c r="Y108" s="34"/>
      <c r="Z108" s="34"/>
      <c r="AA108" s="34"/>
      <c r="AB108" s="35">
        <f>200000.06</f>
        <v>200000.06</v>
      </c>
      <c r="AC108" s="35"/>
    </row>
    <row r="109" spans="1:29" s="1" customFormat="1" ht="13.5" customHeight="1">
      <c r="A109" s="31" t="s">
        <v>107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99</v>
      </c>
      <c r="M109" s="32"/>
      <c r="N109" s="32"/>
      <c r="O109" s="32" t="s">
        <v>184</v>
      </c>
      <c r="P109" s="32"/>
      <c r="Q109" s="32"/>
      <c r="R109" s="33" t="s">
        <v>108</v>
      </c>
      <c r="S109" s="33"/>
      <c r="T109" s="34">
        <f>1780.97</f>
        <v>1780.97</v>
      </c>
      <c r="U109" s="34"/>
      <c r="V109" s="34"/>
      <c r="W109" s="34">
        <f>1780.97</f>
        <v>1780.97</v>
      </c>
      <c r="X109" s="34"/>
      <c r="Y109" s="34"/>
      <c r="Z109" s="34"/>
      <c r="AA109" s="34"/>
      <c r="AB109" s="35">
        <f>0</f>
        <v>0</v>
      </c>
      <c r="AC109" s="35"/>
    </row>
    <row r="110" spans="1:29" s="1" customFormat="1" ht="13.5" customHeight="1">
      <c r="A110" s="31" t="s">
        <v>103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99</v>
      </c>
      <c r="M110" s="32"/>
      <c r="N110" s="32"/>
      <c r="O110" s="32" t="s">
        <v>185</v>
      </c>
      <c r="P110" s="32"/>
      <c r="Q110" s="32"/>
      <c r="R110" s="33" t="s">
        <v>105</v>
      </c>
      <c r="S110" s="33"/>
      <c r="T110" s="34">
        <f>212794.62</f>
        <v>212794.62</v>
      </c>
      <c r="U110" s="34"/>
      <c r="V110" s="34"/>
      <c r="W110" s="34">
        <f>152394.68</f>
        <v>152394.68</v>
      </c>
      <c r="X110" s="34"/>
      <c r="Y110" s="34"/>
      <c r="Z110" s="34"/>
      <c r="AA110" s="34"/>
      <c r="AB110" s="35">
        <f>60399.94</f>
        <v>60399.94</v>
      </c>
      <c r="AC110" s="35"/>
    </row>
    <row r="111" spans="1:29" s="1" customFormat="1" ht="13.5" customHeight="1">
      <c r="A111" s="31" t="s">
        <v>100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99</v>
      </c>
      <c r="M111" s="32"/>
      <c r="N111" s="32"/>
      <c r="O111" s="32" t="s">
        <v>186</v>
      </c>
      <c r="P111" s="32"/>
      <c r="Q111" s="32"/>
      <c r="R111" s="33" t="s">
        <v>102</v>
      </c>
      <c r="S111" s="33"/>
      <c r="T111" s="34">
        <f>1418078.33</f>
        <v>1418078.33</v>
      </c>
      <c r="U111" s="34"/>
      <c r="V111" s="34"/>
      <c r="W111" s="34">
        <f>1417996.83</f>
        <v>1417996.83</v>
      </c>
      <c r="X111" s="34"/>
      <c r="Y111" s="34"/>
      <c r="Z111" s="34"/>
      <c r="AA111" s="34"/>
      <c r="AB111" s="35">
        <f>81.5</f>
        <v>81.5</v>
      </c>
      <c r="AC111" s="35"/>
    </row>
    <row r="112" spans="1:29" s="1" customFormat="1" ht="13.5" customHeight="1">
      <c r="A112" s="31" t="s">
        <v>103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99</v>
      </c>
      <c r="M112" s="32"/>
      <c r="N112" s="32"/>
      <c r="O112" s="32" t="s">
        <v>187</v>
      </c>
      <c r="P112" s="32"/>
      <c r="Q112" s="32"/>
      <c r="R112" s="33" t="s">
        <v>105</v>
      </c>
      <c r="S112" s="33"/>
      <c r="T112" s="34">
        <f>428259.67</f>
        <v>428259.67</v>
      </c>
      <c r="U112" s="34"/>
      <c r="V112" s="34"/>
      <c r="W112" s="34">
        <f>428235.04</f>
        <v>428235.04</v>
      </c>
      <c r="X112" s="34"/>
      <c r="Y112" s="34"/>
      <c r="Z112" s="34"/>
      <c r="AA112" s="34"/>
      <c r="AB112" s="35">
        <f>24.63</f>
        <v>24.63</v>
      </c>
      <c r="AC112" s="35"/>
    </row>
    <row r="113" spans="1:29" s="1" customFormat="1" ht="13.5" customHeight="1">
      <c r="A113" s="31" t="s">
        <v>100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99</v>
      </c>
      <c r="M113" s="32"/>
      <c r="N113" s="32"/>
      <c r="O113" s="32" t="s">
        <v>188</v>
      </c>
      <c r="P113" s="32"/>
      <c r="Q113" s="32"/>
      <c r="R113" s="33" t="s">
        <v>102</v>
      </c>
      <c r="S113" s="33"/>
      <c r="T113" s="34">
        <f>151.11</f>
        <v>151.11</v>
      </c>
      <c r="U113" s="34"/>
      <c r="V113" s="34"/>
      <c r="W113" s="34">
        <f>151.11</f>
        <v>151.11</v>
      </c>
      <c r="X113" s="34"/>
      <c r="Y113" s="34"/>
      <c r="Z113" s="34"/>
      <c r="AA113" s="34"/>
      <c r="AB113" s="35">
        <f aca="true" t="shared" si="4" ref="AB113:AB119">0</f>
        <v>0</v>
      </c>
      <c r="AC113" s="35"/>
    </row>
    <row r="114" spans="1:29" s="1" customFormat="1" ht="13.5" customHeight="1">
      <c r="A114" s="31" t="s">
        <v>103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99</v>
      </c>
      <c r="M114" s="32"/>
      <c r="N114" s="32"/>
      <c r="O114" s="32" t="s">
        <v>189</v>
      </c>
      <c r="P114" s="32"/>
      <c r="Q114" s="32"/>
      <c r="R114" s="33" t="s">
        <v>105</v>
      </c>
      <c r="S114" s="33"/>
      <c r="T114" s="34">
        <f>45.63</f>
        <v>45.63</v>
      </c>
      <c r="U114" s="34"/>
      <c r="V114" s="34"/>
      <c r="W114" s="34">
        <f>45.63</f>
        <v>45.63</v>
      </c>
      <c r="X114" s="34"/>
      <c r="Y114" s="34"/>
      <c r="Z114" s="34"/>
      <c r="AA114" s="34"/>
      <c r="AB114" s="35">
        <f t="shared" si="4"/>
        <v>0</v>
      </c>
      <c r="AC114" s="35"/>
    </row>
    <row r="115" spans="1:29" s="1" customFormat="1" ht="13.5" customHeight="1">
      <c r="A115" s="31" t="s">
        <v>114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99</v>
      </c>
      <c r="M115" s="32"/>
      <c r="N115" s="32"/>
      <c r="O115" s="32" t="s">
        <v>190</v>
      </c>
      <c r="P115" s="32"/>
      <c r="Q115" s="32"/>
      <c r="R115" s="33" t="s">
        <v>115</v>
      </c>
      <c r="S115" s="33"/>
      <c r="T115" s="34">
        <f>19477.14</f>
        <v>19477.14</v>
      </c>
      <c r="U115" s="34"/>
      <c r="V115" s="34"/>
      <c r="W115" s="34">
        <f>19477.14</f>
        <v>19477.14</v>
      </c>
      <c r="X115" s="34"/>
      <c r="Y115" s="34"/>
      <c r="Z115" s="34"/>
      <c r="AA115" s="34"/>
      <c r="AB115" s="35">
        <f t="shared" si="4"/>
        <v>0</v>
      </c>
      <c r="AC115" s="35"/>
    </row>
    <row r="116" spans="1:29" s="1" customFormat="1" ht="13.5" customHeight="1">
      <c r="A116" s="31" t="s">
        <v>114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99</v>
      </c>
      <c r="M116" s="32"/>
      <c r="N116" s="32"/>
      <c r="O116" s="32" t="s">
        <v>191</v>
      </c>
      <c r="P116" s="32"/>
      <c r="Q116" s="32"/>
      <c r="R116" s="33" t="s">
        <v>115</v>
      </c>
      <c r="S116" s="33"/>
      <c r="T116" s="34">
        <f>10522.86</f>
        <v>10522.86</v>
      </c>
      <c r="U116" s="34"/>
      <c r="V116" s="34"/>
      <c r="W116" s="34">
        <f>10522.86</f>
        <v>10522.86</v>
      </c>
      <c r="X116" s="34"/>
      <c r="Y116" s="34"/>
      <c r="Z116" s="34"/>
      <c r="AA116" s="34"/>
      <c r="AB116" s="35">
        <f t="shared" si="4"/>
        <v>0</v>
      </c>
      <c r="AC116" s="35"/>
    </row>
    <row r="117" spans="1:29" s="1" customFormat="1" ht="13.5" customHeight="1">
      <c r="A117" s="31" t="s">
        <v>170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99</v>
      </c>
      <c r="M117" s="32"/>
      <c r="N117" s="32"/>
      <c r="O117" s="32" t="s">
        <v>192</v>
      </c>
      <c r="P117" s="32"/>
      <c r="Q117" s="32"/>
      <c r="R117" s="33" t="s">
        <v>172</v>
      </c>
      <c r="S117" s="33"/>
      <c r="T117" s="34">
        <f>1400059.53</f>
        <v>1400059.53</v>
      </c>
      <c r="U117" s="34"/>
      <c r="V117" s="34"/>
      <c r="W117" s="34">
        <f>1400059.53</f>
        <v>1400059.53</v>
      </c>
      <c r="X117" s="34"/>
      <c r="Y117" s="34"/>
      <c r="Z117" s="34"/>
      <c r="AA117" s="34"/>
      <c r="AB117" s="35">
        <f t="shared" si="4"/>
        <v>0</v>
      </c>
      <c r="AC117" s="35"/>
    </row>
    <row r="118" spans="1:29" s="1" customFormat="1" ht="13.5" customHeight="1">
      <c r="A118" s="31" t="s">
        <v>170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99</v>
      </c>
      <c r="M118" s="32"/>
      <c r="N118" s="32"/>
      <c r="O118" s="32" t="s">
        <v>193</v>
      </c>
      <c r="P118" s="32"/>
      <c r="Q118" s="32"/>
      <c r="R118" s="33" t="s">
        <v>172</v>
      </c>
      <c r="S118" s="33"/>
      <c r="T118" s="34">
        <f>749965.2</f>
        <v>749965.2</v>
      </c>
      <c r="U118" s="34"/>
      <c r="V118" s="34"/>
      <c r="W118" s="34">
        <f>749965.2</f>
        <v>749965.2</v>
      </c>
      <c r="X118" s="34"/>
      <c r="Y118" s="34"/>
      <c r="Z118" s="34"/>
      <c r="AA118" s="34"/>
      <c r="AB118" s="35">
        <f t="shared" si="4"/>
        <v>0</v>
      </c>
      <c r="AC118" s="35"/>
    </row>
    <row r="119" spans="1:29" s="1" customFormat="1" ht="13.5" customHeight="1">
      <c r="A119" s="31" t="s">
        <v>144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99</v>
      </c>
      <c r="M119" s="32"/>
      <c r="N119" s="32"/>
      <c r="O119" s="32" t="s">
        <v>194</v>
      </c>
      <c r="P119" s="32"/>
      <c r="Q119" s="32"/>
      <c r="R119" s="33" t="s">
        <v>145</v>
      </c>
      <c r="S119" s="33"/>
      <c r="T119" s="34">
        <f>362500</f>
        <v>362500</v>
      </c>
      <c r="U119" s="34"/>
      <c r="V119" s="34"/>
      <c r="W119" s="34">
        <f>362500</f>
        <v>362500</v>
      </c>
      <c r="X119" s="34"/>
      <c r="Y119" s="34"/>
      <c r="Z119" s="34"/>
      <c r="AA119" s="34"/>
      <c r="AB119" s="35">
        <f t="shared" si="4"/>
        <v>0</v>
      </c>
      <c r="AC119" s="35"/>
    </row>
    <row r="120" spans="1:29" s="1" customFormat="1" ht="13.5" customHeight="1">
      <c r="A120" s="31" t="s">
        <v>136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99</v>
      </c>
      <c r="M120" s="32"/>
      <c r="N120" s="32"/>
      <c r="O120" s="32" t="s">
        <v>195</v>
      </c>
      <c r="P120" s="32"/>
      <c r="Q120" s="32"/>
      <c r="R120" s="33" t="s">
        <v>137</v>
      </c>
      <c r="S120" s="33"/>
      <c r="T120" s="34">
        <f>1399978.13</f>
        <v>1399978.13</v>
      </c>
      <c r="U120" s="34"/>
      <c r="V120" s="34"/>
      <c r="W120" s="34">
        <f>965658.71</f>
        <v>965658.71</v>
      </c>
      <c r="X120" s="34"/>
      <c r="Y120" s="34"/>
      <c r="Z120" s="34"/>
      <c r="AA120" s="34"/>
      <c r="AB120" s="35">
        <f>434319.42</f>
        <v>434319.42</v>
      </c>
      <c r="AC120" s="35"/>
    </row>
    <row r="121" spans="1:29" s="1" customFormat="1" ht="13.5" customHeight="1">
      <c r="A121" s="31" t="s">
        <v>196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99</v>
      </c>
      <c r="M121" s="32"/>
      <c r="N121" s="32"/>
      <c r="O121" s="32" t="s">
        <v>197</v>
      </c>
      <c r="P121" s="32"/>
      <c r="Q121" s="32"/>
      <c r="R121" s="33" t="s">
        <v>198</v>
      </c>
      <c r="S121" s="33"/>
      <c r="T121" s="34">
        <f>200000</f>
        <v>200000</v>
      </c>
      <c r="U121" s="34"/>
      <c r="V121" s="34"/>
      <c r="W121" s="34">
        <f>200000</f>
        <v>200000</v>
      </c>
      <c r="X121" s="34"/>
      <c r="Y121" s="34"/>
      <c r="Z121" s="34"/>
      <c r="AA121" s="34"/>
      <c r="AB121" s="35">
        <f>0</f>
        <v>0</v>
      </c>
      <c r="AC121" s="35"/>
    </row>
    <row r="122" spans="1:29" s="1" customFormat="1" ht="24" customHeight="1">
      <c r="A122" s="31" t="s">
        <v>119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99</v>
      </c>
      <c r="M122" s="32"/>
      <c r="N122" s="32"/>
      <c r="O122" s="32" t="s">
        <v>199</v>
      </c>
      <c r="P122" s="32"/>
      <c r="Q122" s="32"/>
      <c r="R122" s="33" t="s">
        <v>121</v>
      </c>
      <c r="S122" s="33"/>
      <c r="T122" s="34">
        <f>10000000</f>
        <v>10000000</v>
      </c>
      <c r="U122" s="34"/>
      <c r="V122" s="34"/>
      <c r="W122" s="34">
        <f>10000000</f>
        <v>10000000</v>
      </c>
      <c r="X122" s="34"/>
      <c r="Y122" s="34"/>
      <c r="Z122" s="34"/>
      <c r="AA122" s="34"/>
      <c r="AB122" s="35">
        <f>0</f>
        <v>0</v>
      </c>
      <c r="AC122" s="35"/>
    </row>
    <row r="123" spans="1:29" s="1" customFormat="1" ht="24" customHeight="1">
      <c r="A123" s="31" t="s">
        <v>119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99</v>
      </c>
      <c r="M123" s="32"/>
      <c r="N123" s="32"/>
      <c r="O123" s="32" t="s">
        <v>200</v>
      </c>
      <c r="P123" s="32"/>
      <c r="Q123" s="32"/>
      <c r="R123" s="33" t="s">
        <v>121</v>
      </c>
      <c r="S123" s="33"/>
      <c r="T123" s="34">
        <f>7878500</f>
        <v>7878500</v>
      </c>
      <c r="U123" s="34"/>
      <c r="V123" s="34"/>
      <c r="W123" s="34">
        <f>7878500</f>
        <v>7878500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13.5" customHeight="1">
      <c r="A124" s="31" t="s">
        <v>170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99</v>
      </c>
      <c r="M124" s="32"/>
      <c r="N124" s="32"/>
      <c r="O124" s="32" t="s">
        <v>201</v>
      </c>
      <c r="P124" s="32"/>
      <c r="Q124" s="32"/>
      <c r="R124" s="33" t="s">
        <v>172</v>
      </c>
      <c r="S124" s="33"/>
      <c r="T124" s="34">
        <f>1556510.79</f>
        <v>1556510.79</v>
      </c>
      <c r="U124" s="34"/>
      <c r="V124" s="34"/>
      <c r="W124" s="36" t="s">
        <v>37</v>
      </c>
      <c r="X124" s="36"/>
      <c r="Y124" s="36"/>
      <c r="Z124" s="36"/>
      <c r="AA124" s="36"/>
      <c r="AB124" s="35">
        <f>1556510.79</f>
        <v>1556510.79</v>
      </c>
      <c r="AC124" s="35"/>
    </row>
    <row r="125" spans="1:29" s="1" customFormat="1" ht="13.5" customHeight="1">
      <c r="A125" s="31" t="s">
        <v>202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99</v>
      </c>
      <c r="M125" s="32"/>
      <c r="N125" s="32"/>
      <c r="O125" s="32" t="s">
        <v>201</v>
      </c>
      <c r="P125" s="32"/>
      <c r="Q125" s="32"/>
      <c r="R125" s="33" t="s">
        <v>203</v>
      </c>
      <c r="S125" s="33"/>
      <c r="T125" s="34">
        <f>162500</f>
        <v>162500</v>
      </c>
      <c r="U125" s="34"/>
      <c r="V125" s="34"/>
      <c r="W125" s="34">
        <f>161687.5</f>
        <v>161687.5</v>
      </c>
      <c r="X125" s="34"/>
      <c r="Y125" s="34"/>
      <c r="Z125" s="34"/>
      <c r="AA125" s="34"/>
      <c r="AB125" s="35">
        <f>812.5</f>
        <v>812.5</v>
      </c>
      <c r="AC125" s="35"/>
    </row>
    <row r="126" spans="1:29" s="1" customFormat="1" ht="13.5" customHeight="1">
      <c r="A126" s="31" t="s">
        <v>144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99</v>
      </c>
      <c r="M126" s="32"/>
      <c r="N126" s="32"/>
      <c r="O126" s="32" t="s">
        <v>201</v>
      </c>
      <c r="P126" s="32"/>
      <c r="Q126" s="32"/>
      <c r="R126" s="33" t="s">
        <v>145</v>
      </c>
      <c r="S126" s="33"/>
      <c r="T126" s="34">
        <f>5135.79</f>
        <v>5135.79</v>
      </c>
      <c r="U126" s="34"/>
      <c r="V126" s="34"/>
      <c r="W126" s="36" t="s">
        <v>37</v>
      </c>
      <c r="X126" s="36"/>
      <c r="Y126" s="36"/>
      <c r="Z126" s="36"/>
      <c r="AA126" s="36"/>
      <c r="AB126" s="35">
        <f>5135.79</f>
        <v>5135.79</v>
      </c>
      <c r="AC126" s="35"/>
    </row>
    <row r="127" spans="1:29" s="1" customFormat="1" ht="24" customHeight="1">
      <c r="A127" s="31" t="s">
        <v>204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99</v>
      </c>
      <c r="M127" s="32"/>
      <c r="N127" s="32"/>
      <c r="O127" s="32" t="s">
        <v>201</v>
      </c>
      <c r="P127" s="32"/>
      <c r="Q127" s="32"/>
      <c r="R127" s="33" t="s">
        <v>205</v>
      </c>
      <c r="S127" s="33"/>
      <c r="T127" s="34">
        <f>693500</f>
        <v>693500</v>
      </c>
      <c r="U127" s="34"/>
      <c r="V127" s="34"/>
      <c r="W127" s="34">
        <f>693500</f>
        <v>693500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24" customHeight="1">
      <c r="A128" s="31" t="s">
        <v>119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99</v>
      </c>
      <c r="M128" s="32"/>
      <c r="N128" s="32"/>
      <c r="O128" s="32" t="s">
        <v>206</v>
      </c>
      <c r="P128" s="32"/>
      <c r="Q128" s="32"/>
      <c r="R128" s="33" t="s">
        <v>121</v>
      </c>
      <c r="S128" s="33"/>
      <c r="T128" s="34">
        <f>526315.79</f>
        <v>526315.79</v>
      </c>
      <c r="U128" s="34"/>
      <c r="V128" s="34"/>
      <c r="W128" s="34">
        <f>526315.79</f>
        <v>526315.79</v>
      </c>
      <c r="X128" s="34"/>
      <c r="Y128" s="34"/>
      <c r="Z128" s="34"/>
      <c r="AA128" s="34"/>
      <c r="AB128" s="35">
        <f>0</f>
        <v>0</v>
      </c>
      <c r="AC128" s="35"/>
    </row>
    <row r="129" spans="1:29" s="1" customFormat="1" ht="24" customHeight="1">
      <c r="A129" s="31" t="s">
        <v>119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99</v>
      </c>
      <c r="M129" s="32"/>
      <c r="N129" s="32"/>
      <c r="O129" s="32" t="s">
        <v>207</v>
      </c>
      <c r="P129" s="32"/>
      <c r="Q129" s="32"/>
      <c r="R129" s="33" t="s">
        <v>121</v>
      </c>
      <c r="S129" s="33"/>
      <c r="T129" s="34">
        <f>3376500</f>
        <v>3376500</v>
      </c>
      <c r="U129" s="34"/>
      <c r="V129" s="34"/>
      <c r="W129" s="34">
        <f>3376500</f>
        <v>3376500</v>
      </c>
      <c r="X129" s="34"/>
      <c r="Y129" s="34"/>
      <c r="Z129" s="34"/>
      <c r="AA129" s="34"/>
      <c r="AB129" s="35">
        <f>0</f>
        <v>0</v>
      </c>
      <c r="AC129" s="35"/>
    </row>
    <row r="130" spans="1:29" s="1" customFormat="1" ht="13.5" customHeight="1">
      <c r="A130" s="31" t="s">
        <v>114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99</v>
      </c>
      <c r="M130" s="32"/>
      <c r="N130" s="32"/>
      <c r="O130" s="32" t="s">
        <v>208</v>
      </c>
      <c r="P130" s="32"/>
      <c r="Q130" s="32"/>
      <c r="R130" s="33" t="s">
        <v>115</v>
      </c>
      <c r="S130" s="33"/>
      <c r="T130" s="34">
        <f>100000</f>
        <v>100000</v>
      </c>
      <c r="U130" s="34"/>
      <c r="V130" s="34"/>
      <c r="W130" s="34">
        <f>64000</f>
        <v>64000</v>
      </c>
      <c r="X130" s="34"/>
      <c r="Y130" s="34"/>
      <c r="Z130" s="34"/>
      <c r="AA130" s="34"/>
      <c r="AB130" s="35">
        <f>36000</f>
        <v>36000</v>
      </c>
      <c r="AC130" s="35"/>
    </row>
    <row r="131" spans="1:29" s="1" customFormat="1" ht="13.5" customHeight="1">
      <c r="A131" s="31" t="s">
        <v>144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99</v>
      </c>
      <c r="M131" s="32"/>
      <c r="N131" s="32"/>
      <c r="O131" s="32" t="s">
        <v>209</v>
      </c>
      <c r="P131" s="32"/>
      <c r="Q131" s="32"/>
      <c r="R131" s="33" t="s">
        <v>145</v>
      </c>
      <c r="S131" s="33"/>
      <c r="T131" s="34">
        <f>490000</f>
        <v>490000</v>
      </c>
      <c r="U131" s="34"/>
      <c r="V131" s="34"/>
      <c r="W131" s="34">
        <f>391451.7</f>
        <v>391451.7</v>
      </c>
      <c r="X131" s="34"/>
      <c r="Y131" s="34"/>
      <c r="Z131" s="34"/>
      <c r="AA131" s="34"/>
      <c r="AB131" s="35">
        <f>98548.3</f>
        <v>98548.3</v>
      </c>
      <c r="AC131" s="35"/>
    </row>
    <row r="132" spans="1:29" s="1" customFormat="1" ht="24" customHeight="1">
      <c r="A132" s="31" t="s">
        <v>119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99</v>
      </c>
      <c r="M132" s="32"/>
      <c r="N132" s="32"/>
      <c r="O132" s="32" t="s">
        <v>210</v>
      </c>
      <c r="P132" s="32"/>
      <c r="Q132" s="32"/>
      <c r="R132" s="33" t="s">
        <v>121</v>
      </c>
      <c r="S132" s="33"/>
      <c r="T132" s="34">
        <f>3432</f>
        <v>3432</v>
      </c>
      <c r="U132" s="34"/>
      <c r="V132" s="34"/>
      <c r="W132" s="34">
        <f>3432</f>
        <v>3432</v>
      </c>
      <c r="X132" s="34"/>
      <c r="Y132" s="34"/>
      <c r="Z132" s="34"/>
      <c r="AA132" s="34"/>
      <c r="AB132" s="35">
        <f>0</f>
        <v>0</v>
      </c>
      <c r="AC132" s="35"/>
    </row>
    <row r="133" spans="1:29" s="1" customFormat="1" ht="13.5" customHeight="1">
      <c r="A133" s="31" t="s">
        <v>114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99</v>
      </c>
      <c r="M133" s="32"/>
      <c r="N133" s="32"/>
      <c r="O133" s="32" t="s">
        <v>211</v>
      </c>
      <c r="P133" s="32"/>
      <c r="Q133" s="32"/>
      <c r="R133" s="33" t="s">
        <v>115</v>
      </c>
      <c r="S133" s="33"/>
      <c r="T133" s="34">
        <f>9648</f>
        <v>9648</v>
      </c>
      <c r="U133" s="34"/>
      <c r="V133" s="34"/>
      <c r="W133" s="34">
        <f>9648</f>
        <v>9648</v>
      </c>
      <c r="X133" s="34"/>
      <c r="Y133" s="34"/>
      <c r="Z133" s="34"/>
      <c r="AA133" s="34"/>
      <c r="AB133" s="35">
        <f>0</f>
        <v>0</v>
      </c>
      <c r="AC133" s="35"/>
    </row>
    <row r="134" spans="1:29" s="1" customFormat="1" ht="13.5" customHeight="1">
      <c r="A134" s="31" t="s">
        <v>136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99</v>
      </c>
      <c r="M134" s="32"/>
      <c r="N134" s="32"/>
      <c r="O134" s="32" t="s">
        <v>212</v>
      </c>
      <c r="P134" s="32"/>
      <c r="Q134" s="32"/>
      <c r="R134" s="33" t="s">
        <v>137</v>
      </c>
      <c r="S134" s="33"/>
      <c r="T134" s="34">
        <f>15000</f>
        <v>15000</v>
      </c>
      <c r="U134" s="34"/>
      <c r="V134" s="34"/>
      <c r="W134" s="34">
        <f>1405.27</f>
        <v>1405.27</v>
      </c>
      <c r="X134" s="34"/>
      <c r="Y134" s="34"/>
      <c r="Z134" s="34"/>
      <c r="AA134" s="34"/>
      <c r="AB134" s="35">
        <f>13594.73</f>
        <v>13594.73</v>
      </c>
      <c r="AC134" s="35"/>
    </row>
    <row r="135" spans="1:29" s="1" customFormat="1" ht="13.5" customHeight="1">
      <c r="A135" s="31" t="s">
        <v>136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99</v>
      </c>
      <c r="M135" s="32"/>
      <c r="N135" s="32"/>
      <c r="O135" s="32" t="s">
        <v>213</v>
      </c>
      <c r="P135" s="32"/>
      <c r="Q135" s="32"/>
      <c r="R135" s="33" t="s">
        <v>137</v>
      </c>
      <c r="S135" s="33"/>
      <c r="T135" s="34">
        <f>474615.99</f>
        <v>474615.99</v>
      </c>
      <c r="U135" s="34"/>
      <c r="V135" s="34"/>
      <c r="W135" s="34">
        <f>379623.67</f>
        <v>379623.67</v>
      </c>
      <c r="X135" s="34"/>
      <c r="Y135" s="34"/>
      <c r="Z135" s="34"/>
      <c r="AA135" s="34"/>
      <c r="AB135" s="35">
        <f>94992.32</f>
        <v>94992.32</v>
      </c>
      <c r="AC135" s="35"/>
    </row>
    <row r="136" spans="1:29" s="1" customFormat="1" ht="13.5" customHeight="1">
      <c r="A136" s="31" t="s">
        <v>170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99</v>
      </c>
      <c r="M136" s="32"/>
      <c r="N136" s="32"/>
      <c r="O136" s="32" t="s">
        <v>214</v>
      </c>
      <c r="P136" s="32"/>
      <c r="Q136" s="32"/>
      <c r="R136" s="33" t="s">
        <v>172</v>
      </c>
      <c r="S136" s="33"/>
      <c r="T136" s="34">
        <f>84150.48</f>
        <v>84150.48</v>
      </c>
      <c r="U136" s="34"/>
      <c r="V136" s="34"/>
      <c r="W136" s="34">
        <f>84150.48</f>
        <v>84150.48</v>
      </c>
      <c r="X136" s="34"/>
      <c r="Y136" s="34"/>
      <c r="Z136" s="34"/>
      <c r="AA136" s="34"/>
      <c r="AB136" s="35">
        <f aca="true" t="shared" si="5" ref="AB136:AB141">0</f>
        <v>0</v>
      </c>
      <c r="AC136" s="35"/>
    </row>
    <row r="137" spans="1:29" s="1" customFormat="1" ht="13.5" customHeight="1">
      <c r="A137" s="31" t="s">
        <v>134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99</v>
      </c>
      <c r="M137" s="32"/>
      <c r="N137" s="32"/>
      <c r="O137" s="32" t="s">
        <v>215</v>
      </c>
      <c r="P137" s="32"/>
      <c r="Q137" s="32"/>
      <c r="R137" s="33" t="s">
        <v>135</v>
      </c>
      <c r="S137" s="33"/>
      <c r="T137" s="34">
        <f>200000</f>
        <v>200000</v>
      </c>
      <c r="U137" s="34"/>
      <c r="V137" s="34"/>
      <c r="W137" s="34">
        <f>200000</f>
        <v>200000</v>
      </c>
      <c r="X137" s="34"/>
      <c r="Y137" s="34"/>
      <c r="Z137" s="34"/>
      <c r="AA137" s="34"/>
      <c r="AB137" s="35">
        <f t="shared" si="5"/>
        <v>0</v>
      </c>
      <c r="AC137" s="35"/>
    </row>
    <row r="138" spans="1:29" s="1" customFormat="1" ht="13.5" customHeight="1">
      <c r="A138" s="31" t="s">
        <v>144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99</v>
      </c>
      <c r="M138" s="32"/>
      <c r="N138" s="32"/>
      <c r="O138" s="32" t="s">
        <v>216</v>
      </c>
      <c r="P138" s="32"/>
      <c r="Q138" s="32"/>
      <c r="R138" s="33" t="s">
        <v>145</v>
      </c>
      <c r="S138" s="33"/>
      <c r="T138" s="34">
        <f>10000</f>
        <v>10000</v>
      </c>
      <c r="U138" s="34"/>
      <c r="V138" s="34"/>
      <c r="W138" s="34">
        <f>10000</f>
        <v>10000</v>
      </c>
      <c r="X138" s="34"/>
      <c r="Y138" s="34"/>
      <c r="Z138" s="34"/>
      <c r="AA138" s="34"/>
      <c r="AB138" s="35">
        <f t="shared" si="5"/>
        <v>0</v>
      </c>
      <c r="AC138" s="35"/>
    </row>
    <row r="139" spans="1:29" s="1" customFormat="1" ht="13.5" customHeight="1">
      <c r="A139" s="31" t="s">
        <v>170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99</v>
      </c>
      <c r="M139" s="32"/>
      <c r="N139" s="32"/>
      <c r="O139" s="32" t="s">
        <v>217</v>
      </c>
      <c r="P139" s="32"/>
      <c r="Q139" s="32"/>
      <c r="R139" s="33" t="s">
        <v>172</v>
      </c>
      <c r="S139" s="33"/>
      <c r="T139" s="34">
        <f>200317.79</f>
        <v>200317.79</v>
      </c>
      <c r="U139" s="34"/>
      <c r="V139" s="34"/>
      <c r="W139" s="34">
        <f>200317.79</f>
        <v>200317.79</v>
      </c>
      <c r="X139" s="34"/>
      <c r="Y139" s="34"/>
      <c r="Z139" s="34"/>
      <c r="AA139" s="34"/>
      <c r="AB139" s="35">
        <f t="shared" si="5"/>
        <v>0</v>
      </c>
      <c r="AC139" s="35"/>
    </row>
    <row r="140" spans="1:29" s="1" customFormat="1" ht="13.5" customHeight="1">
      <c r="A140" s="31" t="s">
        <v>140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99</v>
      </c>
      <c r="M140" s="32"/>
      <c r="N140" s="32"/>
      <c r="O140" s="32" t="s">
        <v>217</v>
      </c>
      <c r="P140" s="32"/>
      <c r="Q140" s="32"/>
      <c r="R140" s="33" t="s">
        <v>141</v>
      </c>
      <c r="S140" s="33"/>
      <c r="T140" s="34">
        <f>14250</f>
        <v>14250</v>
      </c>
      <c r="U140" s="34"/>
      <c r="V140" s="34"/>
      <c r="W140" s="34">
        <f>14250</f>
        <v>14250</v>
      </c>
      <c r="X140" s="34"/>
      <c r="Y140" s="34"/>
      <c r="Z140" s="34"/>
      <c r="AA140" s="34"/>
      <c r="AB140" s="35">
        <f t="shared" si="5"/>
        <v>0</v>
      </c>
      <c r="AC140" s="35"/>
    </row>
    <row r="141" spans="1:29" s="1" customFormat="1" ht="13.5" customHeight="1">
      <c r="A141" s="31" t="s">
        <v>202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99</v>
      </c>
      <c r="M141" s="32"/>
      <c r="N141" s="32"/>
      <c r="O141" s="32" t="s">
        <v>217</v>
      </c>
      <c r="P141" s="32"/>
      <c r="Q141" s="32"/>
      <c r="R141" s="33" t="s">
        <v>203</v>
      </c>
      <c r="S141" s="33"/>
      <c r="T141" s="34">
        <f>266500</f>
        <v>266500</v>
      </c>
      <c r="U141" s="34"/>
      <c r="V141" s="34"/>
      <c r="W141" s="34">
        <f>266500</f>
        <v>266500</v>
      </c>
      <c r="X141" s="34"/>
      <c r="Y141" s="34"/>
      <c r="Z141" s="34"/>
      <c r="AA141" s="34"/>
      <c r="AB141" s="35">
        <f t="shared" si="5"/>
        <v>0</v>
      </c>
      <c r="AC141" s="35"/>
    </row>
    <row r="142" spans="1:29" s="1" customFormat="1" ht="13.5" customHeight="1">
      <c r="A142" s="31" t="s">
        <v>144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99</v>
      </c>
      <c r="M142" s="32"/>
      <c r="N142" s="32"/>
      <c r="O142" s="32" t="s">
        <v>217</v>
      </c>
      <c r="P142" s="32"/>
      <c r="Q142" s="32"/>
      <c r="R142" s="33" t="s">
        <v>145</v>
      </c>
      <c r="S142" s="33"/>
      <c r="T142" s="34">
        <f>86534.33</f>
        <v>86534.33</v>
      </c>
      <c r="U142" s="34"/>
      <c r="V142" s="34"/>
      <c r="W142" s="34">
        <f>83498.83</f>
        <v>83498.83</v>
      </c>
      <c r="X142" s="34"/>
      <c r="Y142" s="34"/>
      <c r="Z142" s="34"/>
      <c r="AA142" s="34"/>
      <c r="AB142" s="35">
        <f>3035.5</f>
        <v>3035.5</v>
      </c>
      <c r="AC142" s="35"/>
    </row>
    <row r="143" spans="1:29" s="1" customFormat="1" ht="13.5" customHeight="1">
      <c r="A143" s="31" t="s">
        <v>114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99</v>
      </c>
      <c r="M143" s="32"/>
      <c r="N143" s="32"/>
      <c r="O143" s="32" t="s">
        <v>218</v>
      </c>
      <c r="P143" s="32"/>
      <c r="Q143" s="32"/>
      <c r="R143" s="33" t="s">
        <v>115</v>
      </c>
      <c r="S143" s="33"/>
      <c r="T143" s="34">
        <f>120000</f>
        <v>120000</v>
      </c>
      <c r="U143" s="34"/>
      <c r="V143" s="34"/>
      <c r="W143" s="34">
        <f>120000</f>
        <v>120000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24" customHeight="1">
      <c r="A144" s="31" t="s">
        <v>119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99</v>
      </c>
      <c r="M144" s="32"/>
      <c r="N144" s="32"/>
      <c r="O144" s="32" t="s">
        <v>219</v>
      </c>
      <c r="P144" s="32"/>
      <c r="Q144" s="32"/>
      <c r="R144" s="33" t="s">
        <v>121</v>
      </c>
      <c r="S144" s="33"/>
      <c r="T144" s="34">
        <f>377572</f>
        <v>377572</v>
      </c>
      <c r="U144" s="34"/>
      <c r="V144" s="34"/>
      <c r="W144" s="34">
        <f>377572</f>
        <v>377572</v>
      </c>
      <c r="X144" s="34"/>
      <c r="Y144" s="34"/>
      <c r="Z144" s="34"/>
      <c r="AA144" s="34"/>
      <c r="AB144" s="35">
        <f>0</f>
        <v>0</v>
      </c>
      <c r="AC144" s="35"/>
    </row>
    <row r="145" spans="1:29" s="1" customFormat="1" ht="13.5" customHeight="1">
      <c r="A145" s="31" t="s">
        <v>100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99</v>
      </c>
      <c r="M145" s="32"/>
      <c r="N145" s="32"/>
      <c r="O145" s="32" t="s">
        <v>220</v>
      </c>
      <c r="P145" s="32"/>
      <c r="Q145" s="32"/>
      <c r="R145" s="33" t="s">
        <v>102</v>
      </c>
      <c r="S145" s="33"/>
      <c r="T145" s="34">
        <f>448015.23</f>
        <v>448015.23</v>
      </c>
      <c r="U145" s="34"/>
      <c r="V145" s="34"/>
      <c r="W145" s="34">
        <f>435848.57</f>
        <v>435848.57</v>
      </c>
      <c r="X145" s="34"/>
      <c r="Y145" s="34"/>
      <c r="Z145" s="34"/>
      <c r="AA145" s="34"/>
      <c r="AB145" s="35">
        <f>12166.66</f>
        <v>12166.66</v>
      </c>
      <c r="AC145" s="35"/>
    </row>
    <row r="146" spans="1:29" s="1" customFormat="1" ht="13.5" customHeight="1">
      <c r="A146" s="31" t="s">
        <v>103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99</v>
      </c>
      <c r="M146" s="32"/>
      <c r="N146" s="32"/>
      <c r="O146" s="32" t="s">
        <v>221</v>
      </c>
      <c r="P146" s="32"/>
      <c r="Q146" s="32"/>
      <c r="R146" s="33" t="s">
        <v>105</v>
      </c>
      <c r="S146" s="33"/>
      <c r="T146" s="34">
        <f>133946.05</f>
        <v>133946.05</v>
      </c>
      <c r="U146" s="34"/>
      <c r="V146" s="34"/>
      <c r="W146" s="34">
        <f>131626.27</f>
        <v>131626.27</v>
      </c>
      <c r="X146" s="34"/>
      <c r="Y146" s="34"/>
      <c r="Z146" s="34"/>
      <c r="AA146" s="34"/>
      <c r="AB146" s="35">
        <f>2319.78</f>
        <v>2319.78</v>
      </c>
      <c r="AC146" s="35"/>
    </row>
    <row r="147" spans="1:29" s="1" customFormat="1" ht="13.5" customHeight="1">
      <c r="A147" s="31" t="s">
        <v>112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99</v>
      </c>
      <c r="M147" s="32"/>
      <c r="N147" s="32"/>
      <c r="O147" s="32" t="s">
        <v>222</v>
      </c>
      <c r="P147" s="32"/>
      <c r="Q147" s="32"/>
      <c r="R147" s="33" t="s">
        <v>113</v>
      </c>
      <c r="S147" s="33"/>
      <c r="T147" s="34">
        <f>29379.2</f>
        <v>29379.2</v>
      </c>
      <c r="U147" s="34"/>
      <c r="V147" s="34"/>
      <c r="W147" s="34">
        <f>29379.2</f>
        <v>29379.2</v>
      </c>
      <c r="X147" s="34"/>
      <c r="Y147" s="34"/>
      <c r="Z147" s="34"/>
      <c r="AA147" s="34"/>
      <c r="AB147" s="35">
        <f aca="true" t="shared" si="6" ref="AB147:AB153">0</f>
        <v>0</v>
      </c>
      <c r="AC147" s="35"/>
    </row>
    <row r="148" spans="1:29" s="1" customFormat="1" ht="13.5" customHeight="1">
      <c r="A148" s="31" t="s">
        <v>116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99</v>
      </c>
      <c r="M148" s="32"/>
      <c r="N148" s="32"/>
      <c r="O148" s="32" t="s">
        <v>222</v>
      </c>
      <c r="P148" s="32"/>
      <c r="Q148" s="32"/>
      <c r="R148" s="33" t="s">
        <v>117</v>
      </c>
      <c r="S148" s="33"/>
      <c r="T148" s="34">
        <f>52800</f>
        <v>52800</v>
      </c>
      <c r="U148" s="34"/>
      <c r="V148" s="34"/>
      <c r="W148" s="34">
        <f>52800</f>
        <v>52800</v>
      </c>
      <c r="X148" s="34"/>
      <c r="Y148" s="34"/>
      <c r="Z148" s="34"/>
      <c r="AA148" s="34"/>
      <c r="AB148" s="35">
        <f t="shared" si="6"/>
        <v>0</v>
      </c>
      <c r="AC148" s="35"/>
    </row>
    <row r="149" spans="1:29" s="1" customFormat="1" ht="24" customHeight="1">
      <c r="A149" s="31" t="s">
        <v>173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99</v>
      </c>
      <c r="M149" s="32"/>
      <c r="N149" s="32"/>
      <c r="O149" s="32" t="s">
        <v>223</v>
      </c>
      <c r="P149" s="32"/>
      <c r="Q149" s="32"/>
      <c r="R149" s="33" t="s">
        <v>175</v>
      </c>
      <c r="S149" s="33"/>
      <c r="T149" s="34">
        <f>14927</f>
        <v>14927</v>
      </c>
      <c r="U149" s="34"/>
      <c r="V149" s="34"/>
      <c r="W149" s="34">
        <f>14927</f>
        <v>14927</v>
      </c>
      <c r="X149" s="34"/>
      <c r="Y149" s="34"/>
      <c r="Z149" s="34"/>
      <c r="AA149" s="34"/>
      <c r="AB149" s="35">
        <f t="shared" si="6"/>
        <v>0</v>
      </c>
      <c r="AC149" s="35"/>
    </row>
    <row r="150" spans="1:29" s="1" customFormat="1" ht="13.5" customHeight="1">
      <c r="A150" s="31" t="s">
        <v>114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99</v>
      </c>
      <c r="M150" s="32"/>
      <c r="N150" s="32"/>
      <c r="O150" s="32" t="s">
        <v>224</v>
      </c>
      <c r="P150" s="32"/>
      <c r="Q150" s="32"/>
      <c r="R150" s="33" t="s">
        <v>115</v>
      </c>
      <c r="S150" s="33"/>
      <c r="T150" s="34">
        <f>26000</f>
        <v>26000</v>
      </c>
      <c r="U150" s="34"/>
      <c r="V150" s="34"/>
      <c r="W150" s="34">
        <f>26000</f>
        <v>26000</v>
      </c>
      <c r="X150" s="34"/>
      <c r="Y150" s="34"/>
      <c r="Z150" s="34"/>
      <c r="AA150" s="34"/>
      <c r="AB150" s="35">
        <f t="shared" si="6"/>
        <v>0</v>
      </c>
      <c r="AC150" s="35"/>
    </row>
    <row r="151" spans="1:29" s="1" customFormat="1" ht="13.5" customHeight="1">
      <c r="A151" s="31" t="s">
        <v>196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99</v>
      </c>
      <c r="M151" s="32"/>
      <c r="N151" s="32"/>
      <c r="O151" s="32" t="s">
        <v>224</v>
      </c>
      <c r="P151" s="32"/>
      <c r="Q151" s="32"/>
      <c r="R151" s="33" t="s">
        <v>198</v>
      </c>
      <c r="S151" s="33"/>
      <c r="T151" s="34">
        <f>49200</f>
        <v>49200</v>
      </c>
      <c r="U151" s="34"/>
      <c r="V151" s="34"/>
      <c r="W151" s="34">
        <f>49200</f>
        <v>49200</v>
      </c>
      <c r="X151" s="34"/>
      <c r="Y151" s="34"/>
      <c r="Z151" s="34"/>
      <c r="AA151" s="34"/>
      <c r="AB151" s="35">
        <f t="shared" si="6"/>
        <v>0</v>
      </c>
      <c r="AC151" s="35"/>
    </row>
    <row r="152" spans="1:29" s="1" customFormat="1" ht="13.5" customHeight="1">
      <c r="A152" s="31" t="s">
        <v>144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99</v>
      </c>
      <c r="M152" s="32"/>
      <c r="N152" s="32"/>
      <c r="O152" s="32" t="s">
        <v>224</v>
      </c>
      <c r="P152" s="32"/>
      <c r="Q152" s="32"/>
      <c r="R152" s="33" t="s">
        <v>145</v>
      </c>
      <c r="S152" s="33"/>
      <c r="T152" s="34">
        <f>95887.98</f>
        <v>95887.98</v>
      </c>
      <c r="U152" s="34"/>
      <c r="V152" s="34"/>
      <c r="W152" s="34">
        <f>95887.98</f>
        <v>95887.98</v>
      </c>
      <c r="X152" s="34"/>
      <c r="Y152" s="34"/>
      <c r="Z152" s="34"/>
      <c r="AA152" s="34"/>
      <c r="AB152" s="35">
        <f t="shared" si="6"/>
        <v>0</v>
      </c>
      <c r="AC152" s="35"/>
    </row>
    <row r="153" spans="1:29" s="1" customFormat="1" ht="24" customHeight="1">
      <c r="A153" s="31" t="s">
        <v>204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99</v>
      </c>
      <c r="M153" s="32"/>
      <c r="N153" s="32"/>
      <c r="O153" s="32" t="s">
        <v>224</v>
      </c>
      <c r="P153" s="32"/>
      <c r="Q153" s="32"/>
      <c r="R153" s="33" t="s">
        <v>205</v>
      </c>
      <c r="S153" s="33"/>
      <c r="T153" s="34">
        <f>40000</f>
        <v>40000</v>
      </c>
      <c r="U153" s="34"/>
      <c r="V153" s="34"/>
      <c r="W153" s="34">
        <f>40000</f>
        <v>40000</v>
      </c>
      <c r="X153" s="34"/>
      <c r="Y153" s="34"/>
      <c r="Z153" s="34"/>
      <c r="AA153" s="34"/>
      <c r="AB153" s="35">
        <f t="shared" si="6"/>
        <v>0</v>
      </c>
      <c r="AC153" s="35"/>
    </row>
    <row r="154" spans="1:29" s="1" customFormat="1" ht="13.5" customHeight="1">
      <c r="A154" s="31" t="s">
        <v>114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99</v>
      </c>
      <c r="M154" s="32"/>
      <c r="N154" s="32"/>
      <c r="O154" s="32" t="s">
        <v>225</v>
      </c>
      <c r="P154" s="32"/>
      <c r="Q154" s="32"/>
      <c r="R154" s="33" t="s">
        <v>115</v>
      </c>
      <c r="S154" s="33"/>
      <c r="T154" s="34">
        <f>780000</f>
        <v>780000</v>
      </c>
      <c r="U154" s="34"/>
      <c r="V154" s="34"/>
      <c r="W154" s="34">
        <f>776090.45</f>
        <v>776090.45</v>
      </c>
      <c r="X154" s="34"/>
      <c r="Y154" s="34"/>
      <c r="Z154" s="34"/>
      <c r="AA154" s="34"/>
      <c r="AB154" s="35">
        <f>3909.55</f>
        <v>3909.55</v>
      </c>
      <c r="AC154" s="35"/>
    </row>
    <row r="155" spans="1:29" s="1" customFormat="1" ht="13.5" customHeight="1">
      <c r="A155" s="31" t="s">
        <v>100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99</v>
      </c>
      <c r="M155" s="32"/>
      <c r="N155" s="32"/>
      <c r="O155" s="32" t="s">
        <v>226</v>
      </c>
      <c r="P155" s="32"/>
      <c r="Q155" s="32"/>
      <c r="R155" s="33" t="s">
        <v>102</v>
      </c>
      <c r="S155" s="33"/>
      <c r="T155" s="34">
        <f>4468863.56</f>
        <v>4468863.56</v>
      </c>
      <c r="U155" s="34"/>
      <c r="V155" s="34"/>
      <c r="W155" s="34">
        <f>4468863.56</f>
        <v>4468863.56</v>
      </c>
      <c r="X155" s="34"/>
      <c r="Y155" s="34"/>
      <c r="Z155" s="34"/>
      <c r="AA155" s="34"/>
      <c r="AB155" s="35">
        <f>0</f>
        <v>0</v>
      </c>
      <c r="AC155" s="35"/>
    </row>
    <row r="156" spans="1:29" s="1" customFormat="1" ht="13.5" customHeight="1">
      <c r="A156" s="31" t="s">
        <v>107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99</v>
      </c>
      <c r="M156" s="32"/>
      <c r="N156" s="32"/>
      <c r="O156" s="32" t="s">
        <v>226</v>
      </c>
      <c r="P156" s="32"/>
      <c r="Q156" s="32"/>
      <c r="R156" s="33" t="s">
        <v>108</v>
      </c>
      <c r="S156" s="33"/>
      <c r="T156" s="34">
        <f>15503.94</f>
        <v>15503.94</v>
      </c>
      <c r="U156" s="34"/>
      <c r="V156" s="34"/>
      <c r="W156" s="34">
        <f>4384.56</f>
        <v>4384.56</v>
      </c>
      <c r="X156" s="34"/>
      <c r="Y156" s="34"/>
      <c r="Z156" s="34"/>
      <c r="AA156" s="34"/>
      <c r="AB156" s="35">
        <f>11119.38</f>
        <v>11119.38</v>
      </c>
      <c r="AC156" s="35"/>
    </row>
    <row r="157" spans="1:29" s="1" customFormat="1" ht="13.5" customHeight="1">
      <c r="A157" s="31" t="s">
        <v>112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99</v>
      </c>
      <c r="M157" s="32"/>
      <c r="N157" s="32"/>
      <c r="O157" s="32" t="s">
        <v>227</v>
      </c>
      <c r="P157" s="32"/>
      <c r="Q157" s="32"/>
      <c r="R157" s="33" t="s">
        <v>113</v>
      </c>
      <c r="S157" s="33"/>
      <c r="T157" s="34">
        <f>110607.83</f>
        <v>110607.83</v>
      </c>
      <c r="U157" s="34"/>
      <c r="V157" s="34"/>
      <c r="W157" s="34">
        <f>110607.83</f>
        <v>110607.83</v>
      </c>
      <c r="X157" s="34"/>
      <c r="Y157" s="34"/>
      <c r="Z157" s="34"/>
      <c r="AA157" s="34"/>
      <c r="AB157" s="35">
        <f>0</f>
        <v>0</v>
      </c>
      <c r="AC157" s="35"/>
    </row>
    <row r="158" spans="1:29" s="1" customFormat="1" ht="13.5" customHeight="1">
      <c r="A158" s="31" t="s">
        <v>103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99</v>
      </c>
      <c r="M158" s="32"/>
      <c r="N158" s="32"/>
      <c r="O158" s="32" t="s">
        <v>228</v>
      </c>
      <c r="P158" s="32"/>
      <c r="Q158" s="32"/>
      <c r="R158" s="33" t="s">
        <v>105</v>
      </c>
      <c r="S158" s="33"/>
      <c r="T158" s="34">
        <f>1420527.25</f>
        <v>1420527.25</v>
      </c>
      <c r="U158" s="34"/>
      <c r="V158" s="34"/>
      <c r="W158" s="34">
        <f>1419359.78</f>
        <v>1419359.78</v>
      </c>
      <c r="X158" s="34"/>
      <c r="Y158" s="34"/>
      <c r="Z158" s="34"/>
      <c r="AA158" s="34"/>
      <c r="AB158" s="35">
        <f>1167.47</f>
        <v>1167.47</v>
      </c>
      <c r="AC158" s="35"/>
    </row>
    <row r="159" spans="1:29" s="1" customFormat="1" ht="13.5" customHeight="1">
      <c r="A159" s="31" t="s">
        <v>131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99</v>
      </c>
      <c r="M159" s="32"/>
      <c r="N159" s="32"/>
      <c r="O159" s="32" t="s">
        <v>229</v>
      </c>
      <c r="P159" s="32"/>
      <c r="Q159" s="32"/>
      <c r="R159" s="33" t="s">
        <v>133</v>
      </c>
      <c r="S159" s="33"/>
      <c r="T159" s="34">
        <f>82866.78</f>
        <v>82866.78</v>
      </c>
      <c r="U159" s="34"/>
      <c r="V159" s="34"/>
      <c r="W159" s="34">
        <f>72606.11</f>
        <v>72606.11</v>
      </c>
      <c r="X159" s="34"/>
      <c r="Y159" s="34"/>
      <c r="Z159" s="34"/>
      <c r="AA159" s="34"/>
      <c r="AB159" s="35">
        <f>10260.67</f>
        <v>10260.67</v>
      </c>
      <c r="AC159" s="35"/>
    </row>
    <row r="160" spans="1:29" s="1" customFormat="1" ht="13.5" customHeight="1">
      <c r="A160" s="31" t="s">
        <v>134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99</v>
      </c>
      <c r="M160" s="32"/>
      <c r="N160" s="32"/>
      <c r="O160" s="32" t="s">
        <v>229</v>
      </c>
      <c r="P160" s="32"/>
      <c r="Q160" s="32"/>
      <c r="R160" s="33" t="s">
        <v>135</v>
      </c>
      <c r="S160" s="33"/>
      <c r="T160" s="34">
        <f>3880</f>
        <v>3880</v>
      </c>
      <c r="U160" s="34"/>
      <c r="V160" s="34"/>
      <c r="W160" s="34">
        <f>3880</f>
        <v>3880</v>
      </c>
      <c r="X160" s="34"/>
      <c r="Y160" s="34"/>
      <c r="Z160" s="34"/>
      <c r="AA160" s="34"/>
      <c r="AB160" s="35">
        <f>0</f>
        <v>0</v>
      </c>
      <c r="AC160" s="35"/>
    </row>
    <row r="161" spans="1:29" s="1" customFormat="1" ht="13.5" customHeight="1">
      <c r="A161" s="31" t="s">
        <v>136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99</v>
      </c>
      <c r="M161" s="32"/>
      <c r="N161" s="32"/>
      <c r="O161" s="32" t="s">
        <v>229</v>
      </c>
      <c r="P161" s="32"/>
      <c r="Q161" s="32"/>
      <c r="R161" s="33" t="s">
        <v>137</v>
      </c>
      <c r="S161" s="33"/>
      <c r="T161" s="34">
        <f>38887.75</f>
        <v>38887.75</v>
      </c>
      <c r="U161" s="34"/>
      <c r="V161" s="34"/>
      <c r="W161" s="34">
        <f>33903.57</f>
        <v>33903.57</v>
      </c>
      <c r="X161" s="34"/>
      <c r="Y161" s="34"/>
      <c r="Z161" s="34"/>
      <c r="AA161" s="34"/>
      <c r="AB161" s="35">
        <f>4984.18</f>
        <v>4984.18</v>
      </c>
      <c r="AC161" s="35"/>
    </row>
    <row r="162" spans="1:29" s="1" customFormat="1" ht="13.5" customHeight="1">
      <c r="A162" s="31" t="s">
        <v>114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99</v>
      </c>
      <c r="M162" s="32"/>
      <c r="N162" s="32"/>
      <c r="O162" s="32" t="s">
        <v>229</v>
      </c>
      <c r="P162" s="32"/>
      <c r="Q162" s="32"/>
      <c r="R162" s="33" t="s">
        <v>115</v>
      </c>
      <c r="S162" s="33"/>
      <c r="T162" s="34">
        <f>74300</f>
        <v>74300</v>
      </c>
      <c r="U162" s="34"/>
      <c r="V162" s="34"/>
      <c r="W162" s="34">
        <f>74300</f>
        <v>74300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13.5" customHeight="1">
      <c r="A163" s="31" t="s">
        <v>196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99</v>
      </c>
      <c r="M163" s="32"/>
      <c r="N163" s="32"/>
      <c r="O163" s="32" t="s">
        <v>229</v>
      </c>
      <c r="P163" s="32"/>
      <c r="Q163" s="32"/>
      <c r="R163" s="33" t="s">
        <v>198</v>
      </c>
      <c r="S163" s="33"/>
      <c r="T163" s="34">
        <f>200000</f>
        <v>200000</v>
      </c>
      <c r="U163" s="34"/>
      <c r="V163" s="34"/>
      <c r="W163" s="34">
        <f>200000</f>
        <v>200000</v>
      </c>
      <c r="X163" s="34"/>
      <c r="Y163" s="34"/>
      <c r="Z163" s="34"/>
      <c r="AA163" s="34"/>
      <c r="AB163" s="35">
        <f>0</f>
        <v>0</v>
      </c>
      <c r="AC163" s="35"/>
    </row>
    <row r="164" spans="1:29" s="1" customFormat="1" ht="24" customHeight="1">
      <c r="A164" s="31" t="s">
        <v>138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99</v>
      </c>
      <c r="M164" s="32"/>
      <c r="N164" s="32"/>
      <c r="O164" s="32" t="s">
        <v>229</v>
      </c>
      <c r="P164" s="32"/>
      <c r="Q164" s="32"/>
      <c r="R164" s="33" t="s">
        <v>139</v>
      </c>
      <c r="S164" s="33"/>
      <c r="T164" s="34">
        <f>2850</f>
        <v>2850</v>
      </c>
      <c r="U164" s="34"/>
      <c r="V164" s="34"/>
      <c r="W164" s="34">
        <f>2850</f>
        <v>2850</v>
      </c>
      <c r="X164" s="34"/>
      <c r="Y164" s="34"/>
      <c r="Z164" s="34"/>
      <c r="AA164" s="34"/>
      <c r="AB164" s="35">
        <f>0</f>
        <v>0</v>
      </c>
      <c r="AC164" s="35"/>
    </row>
    <row r="165" spans="1:29" s="1" customFormat="1" ht="13.5" customHeight="1">
      <c r="A165" s="31" t="s">
        <v>144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99</v>
      </c>
      <c r="M165" s="32"/>
      <c r="N165" s="32"/>
      <c r="O165" s="32" t="s">
        <v>229</v>
      </c>
      <c r="P165" s="32"/>
      <c r="Q165" s="32"/>
      <c r="R165" s="33" t="s">
        <v>145</v>
      </c>
      <c r="S165" s="33"/>
      <c r="T165" s="34">
        <f>266422.6</f>
        <v>266422.6</v>
      </c>
      <c r="U165" s="34"/>
      <c r="V165" s="34"/>
      <c r="W165" s="34">
        <f>266422.6</f>
        <v>266422.6</v>
      </c>
      <c r="X165" s="34"/>
      <c r="Y165" s="34"/>
      <c r="Z165" s="34"/>
      <c r="AA165" s="34"/>
      <c r="AB165" s="35">
        <f>0</f>
        <v>0</v>
      </c>
      <c r="AC165" s="35"/>
    </row>
    <row r="166" spans="1:29" s="1" customFormat="1" ht="13.5" customHeight="1">
      <c r="A166" s="31" t="s">
        <v>136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99</v>
      </c>
      <c r="M166" s="32"/>
      <c r="N166" s="32"/>
      <c r="O166" s="32" t="s">
        <v>230</v>
      </c>
      <c r="P166" s="32"/>
      <c r="Q166" s="32"/>
      <c r="R166" s="33" t="s">
        <v>137</v>
      </c>
      <c r="S166" s="33"/>
      <c r="T166" s="34">
        <f>852197.77</f>
        <v>852197.77</v>
      </c>
      <c r="U166" s="34"/>
      <c r="V166" s="34"/>
      <c r="W166" s="34">
        <f>737689.61</f>
        <v>737689.61</v>
      </c>
      <c r="X166" s="34"/>
      <c r="Y166" s="34"/>
      <c r="Z166" s="34"/>
      <c r="AA166" s="34"/>
      <c r="AB166" s="35">
        <f>114508.16</f>
        <v>114508.16</v>
      </c>
      <c r="AC166" s="35"/>
    </row>
    <row r="167" spans="1:29" s="1" customFormat="1" ht="13.5" customHeight="1">
      <c r="A167" s="31" t="s">
        <v>100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99</v>
      </c>
      <c r="M167" s="32"/>
      <c r="N167" s="32"/>
      <c r="O167" s="32" t="s">
        <v>231</v>
      </c>
      <c r="P167" s="32"/>
      <c r="Q167" s="32"/>
      <c r="R167" s="33" t="s">
        <v>102</v>
      </c>
      <c r="S167" s="33"/>
      <c r="T167" s="34">
        <f>3096030.32</f>
        <v>3096030.32</v>
      </c>
      <c r="U167" s="34"/>
      <c r="V167" s="34"/>
      <c r="W167" s="34">
        <f>3096030.32</f>
        <v>3096030.32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13.5" customHeight="1">
      <c r="A168" s="31" t="s">
        <v>103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99</v>
      </c>
      <c r="M168" s="32"/>
      <c r="N168" s="32"/>
      <c r="O168" s="32" t="s">
        <v>232</v>
      </c>
      <c r="P168" s="32"/>
      <c r="Q168" s="32"/>
      <c r="R168" s="33" t="s">
        <v>105</v>
      </c>
      <c r="S168" s="33"/>
      <c r="T168" s="34">
        <f>935001.16</f>
        <v>935001.16</v>
      </c>
      <c r="U168" s="34"/>
      <c r="V168" s="34"/>
      <c r="W168" s="34">
        <f>935001.16</f>
        <v>935001.16</v>
      </c>
      <c r="X168" s="34"/>
      <c r="Y168" s="34"/>
      <c r="Z168" s="34"/>
      <c r="AA168" s="34"/>
      <c r="AB168" s="35">
        <f>0</f>
        <v>0</v>
      </c>
      <c r="AC168" s="35"/>
    </row>
    <row r="169" spans="1:29" s="1" customFormat="1" ht="13.5" customHeight="1">
      <c r="A169" s="31" t="s">
        <v>134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99</v>
      </c>
      <c r="M169" s="32"/>
      <c r="N169" s="32"/>
      <c r="O169" s="32" t="s">
        <v>233</v>
      </c>
      <c r="P169" s="32"/>
      <c r="Q169" s="32"/>
      <c r="R169" s="33" t="s">
        <v>135</v>
      </c>
      <c r="S169" s="33"/>
      <c r="T169" s="34">
        <f>23000</f>
        <v>23000</v>
      </c>
      <c r="U169" s="34"/>
      <c r="V169" s="34"/>
      <c r="W169" s="34">
        <f>23000</f>
        <v>23000</v>
      </c>
      <c r="X169" s="34"/>
      <c r="Y169" s="34"/>
      <c r="Z169" s="34"/>
      <c r="AA169" s="34"/>
      <c r="AB169" s="35">
        <f>0</f>
        <v>0</v>
      </c>
      <c r="AC169" s="35"/>
    </row>
    <row r="170" spans="1:29" s="1" customFormat="1" ht="13.5" customHeight="1">
      <c r="A170" s="31" t="s">
        <v>114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99</v>
      </c>
      <c r="M170" s="32"/>
      <c r="N170" s="32"/>
      <c r="O170" s="32" t="s">
        <v>233</v>
      </c>
      <c r="P170" s="32"/>
      <c r="Q170" s="32"/>
      <c r="R170" s="33" t="s">
        <v>115</v>
      </c>
      <c r="S170" s="33"/>
      <c r="T170" s="34">
        <f>6300</f>
        <v>6300</v>
      </c>
      <c r="U170" s="34"/>
      <c r="V170" s="34"/>
      <c r="W170" s="34">
        <f>6300</f>
        <v>6300</v>
      </c>
      <c r="X170" s="34"/>
      <c r="Y170" s="34"/>
      <c r="Z170" s="34"/>
      <c r="AA170" s="34"/>
      <c r="AB170" s="35">
        <f>0</f>
        <v>0</v>
      </c>
      <c r="AC170" s="35"/>
    </row>
    <row r="171" spans="1:29" s="1" customFormat="1" ht="13.5" customHeight="1">
      <c r="A171" s="31" t="s">
        <v>196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99</v>
      </c>
      <c r="M171" s="32"/>
      <c r="N171" s="32"/>
      <c r="O171" s="32" t="s">
        <v>233</v>
      </c>
      <c r="P171" s="32"/>
      <c r="Q171" s="32"/>
      <c r="R171" s="33" t="s">
        <v>198</v>
      </c>
      <c r="S171" s="33"/>
      <c r="T171" s="34">
        <f>32427.35</f>
        <v>32427.35</v>
      </c>
      <c r="U171" s="34"/>
      <c r="V171" s="34"/>
      <c r="W171" s="34">
        <f>32427.35</f>
        <v>32427.35</v>
      </c>
      <c r="X171" s="34"/>
      <c r="Y171" s="34"/>
      <c r="Z171" s="34"/>
      <c r="AA171" s="34"/>
      <c r="AB171" s="35">
        <f>0</f>
        <v>0</v>
      </c>
      <c r="AC171" s="35"/>
    </row>
    <row r="172" spans="1:29" s="1" customFormat="1" ht="13.5" customHeight="1">
      <c r="A172" s="31" t="s">
        <v>144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99</v>
      </c>
      <c r="M172" s="32"/>
      <c r="N172" s="32"/>
      <c r="O172" s="32" t="s">
        <v>233</v>
      </c>
      <c r="P172" s="32"/>
      <c r="Q172" s="32"/>
      <c r="R172" s="33" t="s">
        <v>145</v>
      </c>
      <c r="S172" s="33"/>
      <c r="T172" s="34">
        <f>35596.67</f>
        <v>35596.67</v>
      </c>
      <c r="U172" s="34"/>
      <c r="V172" s="34"/>
      <c r="W172" s="34">
        <f>33765.67</f>
        <v>33765.67</v>
      </c>
      <c r="X172" s="34"/>
      <c r="Y172" s="34"/>
      <c r="Z172" s="34"/>
      <c r="AA172" s="34"/>
      <c r="AB172" s="35">
        <f>1831</f>
        <v>1831</v>
      </c>
      <c r="AC172" s="35"/>
    </row>
    <row r="173" spans="1:29" s="1" customFormat="1" ht="24" customHeight="1">
      <c r="A173" s="31" t="s">
        <v>204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99</v>
      </c>
      <c r="M173" s="32"/>
      <c r="N173" s="32"/>
      <c r="O173" s="32" t="s">
        <v>233</v>
      </c>
      <c r="P173" s="32"/>
      <c r="Q173" s="32"/>
      <c r="R173" s="33" t="s">
        <v>205</v>
      </c>
      <c r="S173" s="33"/>
      <c r="T173" s="34">
        <f>70537.81</f>
        <v>70537.81</v>
      </c>
      <c r="U173" s="34"/>
      <c r="V173" s="34"/>
      <c r="W173" s="34">
        <f>70535</f>
        <v>70535</v>
      </c>
      <c r="X173" s="34"/>
      <c r="Y173" s="34"/>
      <c r="Z173" s="34"/>
      <c r="AA173" s="34"/>
      <c r="AB173" s="35">
        <f>2.81</f>
        <v>2.81</v>
      </c>
      <c r="AC173" s="35"/>
    </row>
    <row r="174" spans="1:29" s="1" customFormat="1" ht="24" customHeight="1">
      <c r="A174" s="31" t="s">
        <v>173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99</v>
      </c>
      <c r="M174" s="32"/>
      <c r="N174" s="32"/>
      <c r="O174" s="32" t="s">
        <v>233</v>
      </c>
      <c r="P174" s="32"/>
      <c r="Q174" s="32"/>
      <c r="R174" s="33" t="s">
        <v>175</v>
      </c>
      <c r="S174" s="33"/>
      <c r="T174" s="34">
        <f>350849.29</f>
        <v>350849.29</v>
      </c>
      <c r="U174" s="34"/>
      <c r="V174" s="34"/>
      <c r="W174" s="34">
        <f>343588.72</f>
        <v>343588.72</v>
      </c>
      <c r="X174" s="34"/>
      <c r="Y174" s="34"/>
      <c r="Z174" s="34"/>
      <c r="AA174" s="34"/>
      <c r="AB174" s="35">
        <f>7260.57</f>
        <v>7260.57</v>
      </c>
      <c r="AC174" s="35"/>
    </row>
    <row r="175" spans="1:29" s="1" customFormat="1" ht="13.5" customHeight="1">
      <c r="A175" s="31" t="s">
        <v>196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99</v>
      </c>
      <c r="M175" s="32"/>
      <c r="N175" s="32"/>
      <c r="O175" s="32" t="s">
        <v>234</v>
      </c>
      <c r="P175" s="32"/>
      <c r="Q175" s="32"/>
      <c r="R175" s="33" t="s">
        <v>198</v>
      </c>
      <c r="S175" s="33"/>
      <c r="T175" s="34">
        <f>9313</f>
        <v>9313</v>
      </c>
      <c r="U175" s="34"/>
      <c r="V175" s="34"/>
      <c r="W175" s="34">
        <f>9313</f>
        <v>9313</v>
      </c>
      <c r="X175" s="34"/>
      <c r="Y175" s="34"/>
      <c r="Z175" s="34"/>
      <c r="AA175" s="34"/>
      <c r="AB175" s="35">
        <f>0</f>
        <v>0</v>
      </c>
      <c r="AC175" s="35"/>
    </row>
    <row r="176" spans="1:29" s="1" customFormat="1" ht="13.5" customHeight="1">
      <c r="A176" s="31" t="s">
        <v>144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99</v>
      </c>
      <c r="M176" s="32"/>
      <c r="N176" s="32"/>
      <c r="O176" s="32" t="s">
        <v>234</v>
      </c>
      <c r="P176" s="32"/>
      <c r="Q176" s="32"/>
      <c r="R176" s="33" t="s">
        <v>145</v>
      </c>
      <c r="S176" s="33"/>
      <c r="T176" s="34">
        <f>11687</f>
        <v>11687</v>
      </c>
      <c r="U176" s="34"/>
      <c r="V176" s="34"/>
      <c r="W176" s="34">
        <f>11687</f>
        <v>11687</v>
      </c>
      <c r="X176" s="34"/>
      <c r="Y176" s="34"/>
      <c r="Z176" s="34"/>
      <c r="AA176" s="34"/>
      <c r="AB176" s="35">
        <f>0</f>
        <v>0</v>
      </c>
      <c r="AC176" s="35"/>
    </row>
    <row r="177" spans="1:29" s="1" customFormat="1" ht="24" customHeight="1">
      <c r="A177" s="31" t="s">
        <v>235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99</v>
      </c>
      <c r="M177" s="32"/>
      <c r="N177" s="32"/>
      <c r="O177" s="32" t="s">
        <v>236</v>
      </c>
      <c r="P177" s="32"/>
      <c r="Q177" s="32"/>
      <c r="R177" s="33" t="s">
        <v>237</v>
      </c>
      <c r="S177" s="33"/>
      <c r="T177" s="34">
        <f>620628</f>
        <v>620628</v>
      </c>
      <c r="U177" s="34"/>
      <c r="V177" s="34"/>
      <c r="W177" s="34">
        <f>611799</f>
        <v>611799</v>
      </c>
      <c r="X177" s="34"/>
      <c r="Y177" s="34"/>
      <c r="Z177" s="34"/>
      <c r="AA177" s="34"/>
      <c r="AB177" s="35">
        <f>8829</f>
        <v>8829</v>
      </c>
      <c r="AC177" s="35"/>
    </row>
    <row r="178" spans="1:29" s="1" customFormat="1" ht="13.5" customHeight="1">
      <c r="A178" s="31" t="s">
        <v>196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99</v>
      </c>
      <c r="M178" s="32"/>
      <c r="N178" s="32"/>
      <c r="O178" s="32" t="s">
        <v>238</v>
      </c>
      <c r="P178" s="32"/>
      <c r="Q178" s="32"/>
      <c r="R178" s="33" t="s">
        <v>198</v>
      </c>
      <c r="S178" s="33"/>
      <c r="T178" s="34">
        <f>131438.56</f>
        <v>131438.56</v>
      </c>
      <c r="U178" s="34"/>
      <c r="V178" s="34"/>
      <c r="W178" s="34">
        <f>131438.56</f>
        <v>131438.56</v>
      </c>
      <c r="X178" s="34"/>
      <c r="Y178" s="34"/>
      <c r="Z178" s="34"/>
      <c r="AA178" s="34"/>
      <c r="AB178" s="35">
        <f>0</f>
        <v>0</v>
      </c>
      <c r="AC178" s="35"/>
    </row>
    <row r="179" spans="1:29" s="1" customFormat="1" ht="13.5" customHeight="1">
      <c r="A179" s="31" t="s">
        <v>144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99</v>
      </c>
      <c r="M179" s="32"/>
      <c r="N179" s="32"/>
      <c r="O179" s="32" t="s">
        <v>238</v>
      </c>
      <c r="P179" s="32"/>
      <c r="Q179" s="32"/>
      <c r="R179" s="33" t="s">
        <v>145</v>
      </c>
      <c r="S179" s="33"/>
      <c r="T179" s="34">
        <f>2244</f>
        <v>2244</v>
      </c>
      <c r="U179" s="34"/>
      <c r="V179" s="34"/>
      <c r="W179" s="34">
        <f>2244</f>
        <v>2244</v>
      </c>
      <c r="X179" s="34"/>
      <c r="Y179" s="34"/>
      <c r="Z179" s="34"/>
      <c r="AA179" s="34"/>
      <c r="AB179" s="35">
        <f>0</f>
        <v>0</v>
      </c>
      <c r="AC179" s="35"/>
    </row>
    <row r="180" spans="1:29" s="1" customFormat="1" ht="24" customHeight="1">
      <c r="A180" s="31" t="s">
        <v>173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99</v>
      </c>
      <c r="M180" s="32"/>
      <c r="N180" s="32"/>
      <c r="O180" s="32" t="s">
        <v>238</v>
      </c>
      <c r="P180" s="32"/>
      <c r="Q180" s="32"/>
      <c r="R180" s="33" t="s">
        <v>175</v>
      </c>
      <c r="S180" s="33"/>
      <c r="T180" s="34">
        <f>26317.44</f>
        <v>26317.44</v>
      </c>
      <c r="U180" s="34"/>
      <c r="V180" s="34"/>
      <c r="W180" s="34">
        <f>8000</f>
        <v>8000</v>
      </c>
      <c r="X180" s="34"/>
      <c r="Y180" s="34"/>
      <c r="Z180" s="34"/>
      <c r="AA180" s="34"/>
      <c r="AB180" s="35">
        <f>18317.44</f>
        <v>18317.44</v>
      </c>
      <c r="AC180" s="35"/>
    </row>
    <row r="181" spans="1:29" s="1" customFormat="1" ht="15" customHeight="1">
      <c r="A181" s="37" t="s">
        <v>239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8" t="s">
        <v>240</v>
      </c>
      <c r="M181" s="38"/>
      <c r="N181" s="38"/>
      <c r="O181" s="38" t="s">
        <v>36</v>
      </c>
      <c r="P181" s="38"/>
      <c r="Q181" s="38"/>
      <c r="R181" s="39" t="s">
        <v>36</v>
      </c>
      <c r="S181" s="39"/>
      <c r="T181" s="40">
        <f>-2070065.04</f>
        <v>-2070065.04</v>
      </c>
      <c r="U181" s="40"/>
      <c r="V181" s="40"/>
      <c r="W181" s="40">
        <f>1838118.35</f>
        <v>1838118.35</v>
      </c>
      <c r="X181" s="40"/>
      <c r="Y181" s="40"/>
      <c r="Z181" s="40"/>
      <c r="AA181" s="40"/>
      <c r="AB181" s="41" t="s">
        <v>36</v>
      </c>
      <c r="AC181" s="41"/>
    </row>
    <row r="182" spans="1:29" s="1" customFormat="1" ht="13.5" customHeight="1">
      <c r="A182" s="10" t="s">
        <v>10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s="1" customFormat="1" ht="13.5" customHeight="1">
      <c r="A183" s="12" t="s">
        <v>241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s="1" customFormat="1" ht="45.75" customHeight="1">
      <c r="A184" s="13" t="s">
        <v>22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 t="s">
        <v>23</v>
      </c>
      <c r="N184" s="13"/>
      <c r="O184" s="13"/>
      <c r="P184" s="13" t="s">
        <v>242</v>
      </c>
      <c r="Q184" s="13"/>
      <c r="R184" s="13"/>
      <c r="S184" s="14" t="s">
        <v>25</v>
      </c>
      <c r="T184" s="14"/>
      <c r="U184" s="14"/>
      <c r="V184" s="14" t="s">
        <v>26</v>
      </c>
      <c r="W184" s="14"/>
      <c r="X184" s="14"/>
      <c r="Y184" s="14"/>
      <c r="Z184" s="14"/>
      <c r="AA184" s="15" t="s">
        <v>27</v>
      </c>
      <c r="AB184" s="15"/>
      <c r="AC184" s="15"/>
    </row>
    <row r="185" spans="1:29" s="1" customFormat="1" ht="12.75" customHeight="1">
      <c r="A185" s="16" t="s">
        <v>28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 t="s">
        <v>29</v>
      </c>
      <c r="N185" s="16"/>
      <c r="O185" s="16"/>
      <c r="P185" s="16" t="s">
        <v>30</v>
      </c>
      <c r="Q185" s="16"/>
      <c r="R185" s="16"/>
      <c r="S185" s="17" t="s">
        <v>31</v>
      </c>
      <c r="T185" s="17"/>
      <c r="U185" s="17"/>
      <c r="V185" s="17" t="s">
        <v>32</v>
      </c>
      <c r="W185" s="17"/>
      <c r="X185" s="17"/>
      <c r="Y185" s="17"/>
      <c r="Z185" s="17"/>
      <c r="AA185" s="18" t="s">
        <v>33</v>
      </c>
      <c r="AB185" s="18"/>
      <c r="AC185" s="18"/>
    </row>
    <row r="186" spans="1:29" s="1" customFormat="1" ht="13.5" customHeight="1">
      <c r="A186" s="19" t="s">
        <v>243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0" t="s">
        <v>244</v>
      </c>
      <c r="N186" s="20"/>
      <c r="O186" s="20"/>
      <c r="P186" s="20" t="s">
        <v>36</v>
      </c>
      <c r="Q186" s="20"/>
      <c r="R186" s="20"/>
      <c r="S186" s="42">
        <f>2070065.04</f>
        <v>2070065.04</v>
      </c>
      <c r="T186" s="42"/>
      <c r="U186" s="42"/>
      <c r="V186" s="21">
        <f>-1838118.35</f>
        <v>-1838118.35</v>
      </c>
      <c r="W186" s="21"/>
      <c r="X186" s="21"/>
      <c r="Y186" s="21"/>
      <c r="Z186" s="21"/>
      <c r="AA186" s="43" t="s">
        <v>36</v>
      </c>
      <c r="AB186" s="43"/>
      <c r="AC186" s="43"/>
    </row>
    <row r="187" spans="1:29" s="1" customFormat="1" ht="13.5" customHeight="1">
      <c r="A187" s="44" t="s">
        <v>245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5" t="s">
        <v>10</v>
      </c>
      <c r="N187" s="45"/>
      <c r="O187" s="45"/>
      <c r="P187" s="45" t="s">
        <v>10</v>
      </c>
      <c r="Q187" s="45"/>
      <c r="R187" s="45"/>
      <c r="S187" s="46" t="s">
        <v>10</v>
      </c>
      <c r="T187" s="46"/>
      <c r="U187" s="46"/>
      <c r="V187" s="47" t="s">
        <v>10</v>
      </c>
      <c r="W187" s="47"/>
      <c r="X187" s="47"/>
      <c r="Y187" s="47"/>
      <c r="Z187" s="47"/>
      <c r="AA187" s="48" t="s">
        <v>10</v>
      </c>
      <c r="AB187" s="48"/>
      <c r="AC187" s="48"/>
    </row>
    <row r="188" spans="1:29" s="1" customFormat="1" ht="13.5" customHeight="1">
      <c r="A188" s="23" t="s">
        <v>246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49" t="s">
        <v>247</v>
      </c>
      <c r="N188" s="49"/>
      <c r="O188" s="49"/>
      <c r="P188" s="24" t="s">
        <v>36</v>
      </c>
      <c r="Q188" s="24"/>
      <c r="R188" s="24"/>
      <c r="S188" s="50" t="s">
        <v>37</v>
      </c>
      <c r="T188" s="50"/>
      <c r="U188" s="50"/>
      <c r="V188" s="51" t="s">
        <v>37</v>
      </c>
      <c r="W188" s="51"/>
      <c r="X188" s="51"/>
      <c r="Y188" s="51"/>
      <c r="Z188" s="51"/>
      <c r="AA188" s="52" t="s">
        <v>37</v>
      </c>
      <c r="AB188" s="52"/>
      <c r="AC188" s="52"/>
    </row>
    <row r="189" spans="1:29" s="1" customFormat="1" ht="13.5" customHeight="1">
      <c r="A189" s="33" t="s">
        <v>10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</row>
    <row r="190" spans="1:29" s="1" customFormat="1" ht="13.5" customHeight="1">
      <c r="A190" s="31" t="s">
        <v>248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45" t="s">
        <v>249</v>
      </c>
      <c r="N190" s="45"/>
      <c r="O190" s="45"/>
      <c r="P190" s="45" t="s">
        <v>36</v>
      </c>
      <c r="Q190" s="45"/>
      <c r="R190" s="45"/>
      <c r="S190" s="46" t="s">
        <v>37</v>
      </c>
      <c r="T190" s="46"/>
      <c r="U190" s="46"/>
      <c r="V190" s="36" t="s">
        <v>37</v>
      </c>
      <c r="W190" s="36"/>
      <c r="X190" s="36"/>
      <c r="Y190" s="36"/>
      <c r="Z190" s="36"/>
      <c r="AA190" s="48" t="s">
        <v>37</v>
      </c>
      <c r="AB190" s="48"/>
      <c r="AC190" s="48"/>
    </row>
    <row r="191" spans="1:29" s="1" customFormat="1" ht="13.5" customHeight="1">
      <c r="A191" s="31" t="s">
        <v>10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2" t="s">
        <v>249</v>
      </c>
      <c r="N191" s="32"/>
      <c r="O191" s="32"/>
      <c r="P191" s="32" t="s">
        <v>10</v>
      </c>
      <c r="Q191" s="32"/>
      <c r="R191" s="32"/>
      <c r="S191" s="53" t="s">
        <v>37</v>
      </c>
      <c r="T191" s="53"/>
      <c r="U191" s="53"/>
      <c r="V191" s="36" t="s">
        <v>37</v>
      </c>
      <c r="W191" s="36"/>
      <c r="X191" s="36"/>
      <c r="Y191" s="36"/>
      <c r="Z191" s="36"/>
      <c r="AA191" s="54" t="s">
        <v>37</v>
      </c>
      <c r="AB191" s="54"/>
      <c r="AC191" s="54"/>
    </row>
    <row r="192" spans="1:29" s="1" customFormat="1" ht="13.5" customHeight="1">
      <c r="A192" s="31" t="s">
        <v>250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2" t="s">
        <v>251</v>
      </c>
      <c r="N192" s="32"/>
      <c r="O192" s="32"/>
      <c r="P192" s="32" t="s">
        <v>252</v>
      </c>
      <c r="Q192" s="32"/>
      <c r="R192" s="32"/>
      <c r="S192" s="55">
        <f>2070065.04</f>
        <v>2070065.04</v>
      </c>
      <c r="T192" s="55"/>
      <c r="U192" s="55"/>
      <c r="V192" s="34">
        <f>-1838118.35</f>
        <v>-1838118.35</v>
      </c>
      <c r="W192" s="34"/>
      <c r="X192" s="34"/>
      <c r="Y192" s="34"/>
      <c r="Z192" s="34"/>
      <c r="AA192" s="56">
        <f>3908183.39</f>
        <v>3908183.39</v>
      </c>
      <c r="AB192" s="56"/>
      <c r="AC192" s="56"/>
    </row>
    <row r="193" spans="1:29" s="1" customFormat="1" ht="13.5" customHeight="1">
      <c r="A193" s="31" t="s">
        <v>253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2" t="s">
        <v>254</v>
      </c>
      <c r="N193" s="32"/>
      <c r="O193" s="32"/>
      <c r="P193" s="32" t="s">
        <v>255</v>
      </c>
      <c r="Q193" s="32"/>
      <c r="R193" s="32"/>
      <c r="S193" s="55">
        <f>-72218908.29</f>
        <v>-72218908.29</v>
      </c>
      <c r="T193" s="55"/>
      <c r="U193" s="55"/>
      <c r="V193" s="34">
        <f>-73142834.11</f>
        <v>-73142834.11</v>
      </c>
      <c r="W193" s="34"/>
      <c r="X193" s="34"/>
      <c r="Y193" s="34"/>
      <c r="Z193" s="34"/>
      <c r="AA193" s="57" t="s">
        <v>36</v>
      </c>
      <c r="AB193" s="57"/>
      <c r="AC193" s="57"/>
    </row>
    <row r="194" spans="1:29" s="1" customFormat="1" ht="13.5" customHeight="1">
      <c r="A194" s="31" t="s">
        <v>256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2" t="s">
        <v>257</v>
      </c>
      <c r="N194" s="32"/>
      <c r="O194" s="32"/>
      <c r="P194" s="32" t="s">
        <v>258</v>
      </c>
      <c r="Q194" s="32"/>
      <c r="R194" s="32"/>
      <c r="S194" s="55">
        <f>74288973.33</f>
        <v>74288973.33</v>
      </c>
      <c r="T194" s="55"/>
      <c r="U194" s="55"/>
      <c r="V194" s="34">
        <f>71304715.76</f>
        <v>71304715.76</v>
      </c>
      <c r="W194" s="34"/>
      <c r="X194" s="34"/>
      <c r="Y194" s="34"/>
      <c r="Z194" s="34"/>
      <c r="AA194" s="57" t="s">
        <v>36</v>
      </c>
      <c r="AB194" s="57"/>
      <c r="AC194" s="57"/>
    </row>
    <row r="195" spans="1:29" s="1" customFormat="1" ht="13.5" customHeight="1">
      <c r="A195" s="58" t="s">
        <v>10</v>
      </c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</row>
    <row r="196" spans="1:29" s="1" customFormat="1" ht="13.5" customHeight="1">
      <c r="A196" s="10" t="s">
        <v>259</v>
      </c>
      <c r="B196" s="10"/>
      <c r="C196" s="10"/>
      <c r="D196" s="10"/>
      <c r="E196" s="10"/>
      <c r="F196" s="10"/>
      <c r="G196" s="10"/>
      <c r="H196" s="10"/>
      <c r="I196" s="59" t="s">
        <v>10</v>
      </c>
      <c r="J196" s="59"/>
      <c r="K196" s="59"/>
      <c r="L196" s="59"/>
      <c r="M196" s="59"/>
      <c r="N196" s="59"/>
      <c r="O196" s="59"/>
      <c r="P196" s="59" t="s">
        <v>260</v>
      </c>
      <c r="Q196" s="59"/>
      <c r="R196" s="59"/>
      <c r="S196" s="59"/>
      <c r="T196" s="59"/>
      <c r="U196" s="10" t="s">
        <v>10</v>
      </c>
      <c r="V196" s="10"/>
      <c r="W196" s="10"/>
      <c r="X196" s="10"/>
      <c r="Y196" s="10"/>
      <c r="Z196" s="10"/>
      <c r="AA196" s="10"/>
      <c r="AB196" s="10"/>
      <c r="AC196" s="10"/>
    </row>
    <row r="197" spans="1:29" s="1" customFormat="1" ht="13.5" customHeight="1">
      <c r="A197" s="10" t="s">
        <v>10</v>
      </c>
      <c r="B197" s="10"/>
      <c r="C197" s="10"/>
      <c r="D197" s="10"/>
      <c r="E197" s="10"/>
      <c r="F197" s="10"/>
      <c r="G197" s="10"/>
      <c r="H197" s="10"/>
      <c r="I197" s="5" t="s">
        <v>10</v>
      </c>
      <c r="J197" s="60" t="s">
        <v>261</v>
      </c>
      <c r="K197" s="60"/>
      <c r="L197" s="60"/>
      <c r="M197" s="60"/>
      <c r="N197" s="10" t="s">
        <v>10</v>
      </c>
      <c r="O197" s="10"/>
      <c r="P197" s="5" t="s">
        <v>10</v>
      </c>
      <c r="Q197" s="60" t="s">
        <v>262</v>
      </c>
      <c r="R197" s="60"/>
      <c r="S197" s="60"/>
      <c r="T197" s="10" t="s">
        <v>10</v>
      </c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s="1" customFormat="1" ht="7.5" customHeight="1">
      <c r="A198" s="10" t="s">
        <v>10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s="1" customFormat="1" ht="24" customHeight="1">
      <c r="A199" s="10" t="s">
        <v>263</v>
      </c>
      <c r="B199" s="10"/>
      <c r="C199" s="10"/>
      <c r="D199" s="10"/>
      <c r="E199" s="10"/>
      <c r="F199" s="10"/>
      <c r="G199" s="10"/>
      <c r="H199" s="10"/>
      <c r="I199" s="59" t="s">
        <v>10</v>
      </c>
      <c r="J199" s="59"/>
      <c r="K199" s="59"/>
      <c r="L199" s="59"/>
      <c r="M199" s="59"/>
      <c r="N199" s="59"/>
      <c r="O199" s="59"/>
      <c r="P199" s="59" t="s">
        <v>264</v>
      </c>
      <c r="Q199" s="59"/>
      <c r="R199" s="59"/>
      <c r="S199" s="59"/>
      <c r="T199" s="59"/>
      <c r="U199" s="10" t="s">
        <v>10</v>
      </c>
      <c r="V199" s="10"/>
      <c r="W199" s="10"/>
      <c r="X199" s="10"/>
      <c r="Y199" s="10"/>
      <c r="Z199" s="10"/>
      <c r="AA199" s="10"/>
      <c r="AB199" s="10"/>
      <c r="AC199" s="10"/>
    </row>
    <row r="200" spans="1:29" s="1" customFormat="1" ht="13.5" customHeight="1">
      <c r="A200" s="10" t="s">
        <v>10</v>
      </c>
      <c r="B200" s="10"/>
      <c r="C200" s="10"/>
      <c r="D200" s="10"/>
      <c r="E200" s="10"/>
      <c r="F200" s="10"/>
      <c r="G200" s="10"/>
      <c r="H200" s="10"/>
      <c r="I200" s="5" t="s">
        <v>10</v>
      </c>
      <c r="J200" s="60" t="s">
        <v>261</v>
      </c>
      <c r="K200" s="60"/>
      <c r="L200" s="60"/>
      <c r="M200" s="60"/>
      <c r="N200" s="10" t="s">
        <v>10</v>
      </c>
      <c r="O200" s="10"/>
      <c r="P200" s="5" t="s">
        <v>10</v>
      </c>
      <c r="Q200" s="60" t="s">
        <v>262</v>
      </c>
      <c r="R200" s="60"/>
      <c r="S200" s="60"/>
      <c r="T200" s="10" t="s">
        <v>10</v>
      </c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s="1" customFormat="1" ht="7.5" customHeight="1">
      <c r="A201" s="10" t="s">
        <v>10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s="1" customFormat="1" ht="33.75" customHeight="1">
      <c r="A202" s="10" t="s">
        <v>265</v>
      </c>
      <c r="B202" s="10"/>
      <c r="C202" s="59" t="s">
        <v>263</v>
      </c>
      <c r="D202" s="59"/>
      <c r="E202" s="59"/>
      <c r="F202" s="59"/>
      <c r="G202" s="59"/>
      <c r="H202" s="59"/>
      <c r="I202" s="59" t="s">
        <v>10</v>
      </c>
      <c r="J202" s="59"/>
      <c r="K202" s="59"/>
      <c r="L202" s="59"/>
      <c r="M202" s="59"/>
      <c r="N202" s="59"/>
      <c r="O202" s="59"/>
      <c r="P202" s="59" t="s">
        <v>264</v>
      </c>
      <c r="Q202" s="59"/>
      <c r="R202" s="59"/>
      <c r="S202" s="59"/>
      <c r="T202" s="59"/>
      <c r="U202" s="10" t="s">
        <v>10</v>
      </c>
      <c r="V202" s="10"/>
      <c r="W202" s="10"/>
      <c r="X202" s="10"/>
      <c r="Y202" s="10"/>
      <c r="Z202" s="10"/>
      <c r="AA202" s="10"/>
      <c r="AB202" s="10"/>
      <c r="AC202" s="10"/>
    </row>
    <row r="203" spans="1:29" s="1" customFormat="1" ht="13.5" customHeight="1">
      <c r="A203" s="10" t="s">
        <v>10</v>
      </c>
      <c r="B203" s="10"/>
      <c r="C203" s="5" t="s">
        <v>10</v>
      </c>
      <c r="D203" s="60" t="s">
        <v>266</v>
      </c>
      <c r="E203" s="60"/>
      <c r="F203" s="60"/>
      <c r="G203" s="60"/>
      <c r="H203" s="5" t="s">
        <v>10</v>
      </c>
      <c r="I203" s="5" t="s">
        <v>10</v>
      </c>
      <c r="J203" s="60" t="s">
        <v>261</v>
      </c>
      <c r="K203" s="60"/>
      <c r="L203" s="60"/>
      <c r="M203" s="60"/>
      <c r="N203" s="10" t="s">
        <v>10</v>
      </c>
      <c r="O203" s="10"/>
      <c r="P203" s="5" t="s">
        <v>10</v>
      </c>
      <c r="Q203" s="60" t="s">
        <v>262</v>
      </c>
      <c r="R203" s="60"/>
      <c r="S203" s="60"/>
      <c r="T203" s="10" t="s">
        <v>10</v>
      </c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s="1" customFormat="1" ht="15.75" customHeight="1">
      <c r="A204" s="10" t="s">
        <v>10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s="1" customFormat="1" ht="13.5" customHeight="1">
      <c r="A205" s="61" t="s">
        <v>267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10" t="s">
        <v>10</v>
      </c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s="1" customFormat="1" ht="13.5" customHeight="1">
      <c r="A206" s="9" t="s">
        <v>268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</sheetData>
  <sheetProtection/>
  <mergeCells count="1276">
    <mergeCell ref="A204:AC204"/>
    <mergeCell ref="A205:J205"/>
    <mergeCell ref="K205:AC205"/>
    <mergeCell ref="A206:AC206"/>
    <mergeCell ref="A203:B203"/>
    <mergeCell ref="D203:G203"/>
    <mergeCell ref="J203:M203"/>
    <mergeCell ref="N203:O203"/>
    <mergeCell ref="Q203:S203"/>
    <mergeCell ref="T203:AC203"/>
    <mergeCell ref="A201:AC201"/>
    <mergeCell ref="A202:B202"/>
    <mergeCell ref="C202:H202"/>
    <mergeCell ref="I202:O202"/>
    <mergeCell ref="P202:T202"/>
    <mergeCell ref="U202:AC202"/>
    <mergeCell ref="A198:AC198"/>
    <mergeCell ref="A199:H199"/>
    <mergeCell ref="I199:O199"/>
    <mergeCell ref="P199:T199"/>
    <mergeCell ref="U199:AC199"/>
    <mergeCell ref="A200:H200"/>
    <mergeCell ref="J200:M200"/>
    <mergeCell ref="N200:O200"/>
    <mergeCell ref="Q200:S200"/>
    <mergeCell ref="T200:AC200"/>
    <mergeCell ref="A195:AC195"/>
    <mergeCell ref="A196:H196"/>
    <mergeCell ref="I196:O196"/>
    <mergeCell ref="P196:T196"/>
    <mergeCell ref="U196:AC196"/>
    <mergeCell ref="A197:H197"/>
    <mergeCell ref="J197:M197"/>
    <mergeCell ref="N197:O197"/>
    <mergeCell ref="Q197:S197"/>
    <mergeCell ref="T197:AC197"/>
    <mergeCell ref="A194:L194"/>
    <mergeCell ref="M194:O194"/>
    <mergeCell ref="P194:R194"/>
    <mergeCell ref="S194:U194"/>
    <mergeCell ref="V194:Z194"/>
    <mergeCell ref="AA194:AC194"/>
    <mergeCell ref="A193:L193"/>
    <mergeCell ref="M193:O193"/>
    <mergeCell ref="P193:R193"/>
    <mergeCell ref="S193:U193"/>
    <mergeCell ref="V193:Z193"/>
    <mergeCell ref="AA193:AC193"/>
    <mergeCell ref="A192:L192"/>
    <mergeCell ref="M192:O192"/>
    <mergeCell ref="P192:R192"/>
    <mergeCell ref="S192:U192"/>
    <mergeCell ref="V192:Z192"/>
    <mergeCell ref="AA192:AC192"/>
    <mergeCell ref="A191:L191"/>
    <mergeCell ref="M191:O191"/>
    <mergeCell ref="P191:R191"/>
    <mergeCell ref="S191:U191"/>
    <mergeCell ref="V191:Z191"/>
    <mergeCell ref="AA191:AC191"/>
    <mergeCell ref="A189:AC189"/>
    <mergeCell ref="A190:L190"/>
    <mergeCell ref="M190:O190"/>
    <mergeCell ref="P190:R190"/>
    <mergeCell ref="S190:U190"/>
    <mergeCell ref="V190:Z190"/>
    <mergeCell ref="AA190:AC190"/>
    <mergeCell ref="A188:L188"/>
    <mergeCell ref="M188:O188"/>
    <mergeCell ref="P188:R188"/>
    <mergeCell ref="S188:U188"/>
    <mergeCell ref="V188:Z188"/>
    <mergeCell ref="AA188:AC188"/>
    <mergeCell ref="A187:L187"/>
    <mergeCell ref="M187:O187"/>
    <mergeCell ref="P187:R187"/>
    <mergeCell ref="S187:U187"/>
    <mergeCell ref="V187:Z187"/>
    <mergeCell ref="AA187:AC187"/>
    <mergeCell ref="A186:L186"/>
    <mergeCell ref="M186:O186"/>
    <mergeCell ref="P186:R186"/>
    <mergeCell ref="S186:U186"/>
    <mergeCell ref="V186:Z186"/>
    <mergeCell ref="AA186:AC186"/>
    <mergeCell ref="A185:L185"/>
    <mergeCell ref="M185:O185"/>
    <mergeCell ref="P185:R185"/>
    <mergeCell ref="S185:U185"/>
    <mergeCell ref="V185:Z185"/>
    <mergeCell ref="AA185:AC185"/>
    <mergeCell ref="A182:AC182"/>
    <mergeCell ref="A183:AC183"/>
    <mergeCell ref="A184:L184"/>
    <mergeCell ref="M184:O184"/>
    <mergeCell ref="P184:R184"/>
    <mergeCell ref="S184:U184"/>
    <mergeCell ref="V184:Z184"/>
    <mergeCell ref="AA184:AC184"/>
    <mergeCell ref="AB180:AC180"/>
    <mergeCell ref="A181:K181"/>
    <mergeCell ref="L181:N181"/>
    <mergeCell ref="O181:Q181"/>
    <mergeCell ref="R181:S181"/>
    <mergeCell ref="T181:V181"/>
    <mergeCell ref="W181:AA181"/>
    <mergeCell ref="AB181:AC181"/>
    <mergeCell ref="A180:K180"/>
    <mergeCell ref="L180:N180"/>
    <mergeCell ref="O180:Q180"/>
    <mergeCell ref="R180:S180"/>
    <mergeCell ref="T180:V180"/>
    <mergeCell ref="W180:AA180"/>
    <mergeCell ref="AB178:AC178"/>
    <mergeCell ref="A179:K179"/>
    <mergeCell ref="L179:N179"/>
    <mergeCell ref="O179:Q179"/>
    <mergeCell ref="R179:S179"/>
    <mergeCell ref="T179:V179"/>
    <mergeCell ref="W179:AA179"/>
    <mergeCell ref="AB179:AC179"/>
    <mergeCell ref="A178:K178"/>
    <mergeCell ref="L178:N178"/>
    <mergeCell ref="O178:Q178"/>
    <mergeCell ref="R178:S178"/>
    <mergeCell ref="T178:V178"/>
    <mergeCell ref="W178:AA178"/>
    <mergeCell ref="AB176:AC176"/>
    <mergeCell ref="A177:K177"/>
    <mergeCell ref="L177:N177"/>
    <mergeCell ref="O177:Q177"/>
    <mergeCell ref="R177:S177"/>
    <mergeCell ref="T177:V177"/>
    <mergeCell ref="W177:AA177"/>
    <mergeCell ref="AB177:AC177"/>
    <mergeCell ref="A176:K176"/>
    <mergeCell ref="L176:N176"/>
    <mergeCell ref="O176:Q176"/>
    <mergeCell ref="R176:S176"/>
    <mergeCell ref="T176:V176"/>
    <mergeCell ref="W176:AA176"/>
    <mergeCell ref="AB174:AC174"/>
    <mergeCell ref="A175:K175"/>
    <mergeCell ref="L175:N175"/>
    <mergeCell ref="O175:Q175"/>
    <mergeCell ref="R175:S175"/>
    <mergeCell ref="T175:V175"/>
    <mergeCell ref="W175:AA175"/>
    <mergeCell ref="AB175:AC175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41:AC41"/>
    <mergeCell ref="A42:AC42"/>
    <mergeCell ref="A43:K43"/>
    <mergeCell ref="L43:N43"/>
    <mergeCell ref="O43:Q43"/>
    <mergeCell ref="R43:S43"/>
    <mergeCell ref="T43:V43"/>
    <mergeCell ref="W43:AA43"/>
    <mergeCell ref="AB43:AC43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8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FInans</cp:lastModifiedBy>
  <dcterms:created xsi:type="dcterms:W3CDTF">2023-04-13T06:47:47Z</dcterms:created>
  <dcterms:modified xsi:type="dcterms:W3CDTF">2023-04-13T06:47:47Z</dcterms:modified>
  <cp:category/>
  <cp:version/>
  <cp:contentType/>
  <cp:contentStatus/>
</cp:coreProperties>
</file>